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rza\Desktop\Реестр закупок (Закуплено)\Корп Фонд\2019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Лист1!$A$7:$IS$215</definedName>
    <definedName name="_xlnm.Print_Area" localSheetId="0">Лист1!$A$1:$I$187</definedName>
  </definedNames>
  <calcPr calcId="152511"/>
</workbook>
</file>

<file path=xl/calcChain.xml><?xml version="1.0" encoding="utf-8"?>
<calcChain xmlns="http://schemas.openxmlformats.org/spreadsheetml/2006/main">
  <c r="G183" i="1" l="1"/>
  <c r="H185" i="1" l="1"/>
  <c r="H184" i="1"/>
  <c r="H183" i="1"/>
  <c r="H182" i="1"/>
  <c r="H181" i="1"/>
  <c r="H180" i="1"/>
  <c r="H179" i="1"/>
  <c r="H177" i="1"/>
  <c r="H178" i="1"/>
  <c r="H176" i="1"/>
  <c r="H172" i="1"/>
  <c r="H173" i="1"/>
  <c r="H165" i="1"/>
  <c r="H166" i="1"/>
  <c r="H167" i="1"/>
  <c r="H168" i="1"/>
  <c r="H170" i="1"/>
  <c r="H171" i="1"/>
  <c r="G169" i="1"/>
  <c r="H169" i="1" s="1"/>
  <c r="G164" i="1"/>
  <c r="H164" i="1" s="1"/>
  <c r="G161" i="1" l="1"/>
  <c r="H161" i="1" s="1"/>
  <c r="G160" i="1"/>
  <c r="H160" i="1" s="1"/>
  <c r="H159" i="1"/>
  <c r="H158" i="1"/>
  <c r="H157" i="1"/>
  <c r="H156" i="1"/>
  <c r="H154" i="1"/>
  <c r="H155" i="1"/>
  <c r="H153" i="1"/>
  <c r="H152" i="1"/>
  <c r="H162" i="1"/>
  <c r="G149" i="1"/>
  <c r="G148" i="1"/>
  <c r="G147" i="1"/>
  <c r="G146" i="1"/>
  <c r="G145" i="1"/>
  <c r="G144" i="1"/>
  <c r="G143" i="1"/>
  <c r="G142" i="1"/>
  <c r="H142" i="1" s="1"/>
  <c r="G141" i="1"/>
  <c r="H141" i="1" s="1"/>
  <c r="G140" i="1"/>
  <c r="H140" i="1" s="1"/>
  <c r="G139" i="1"/>
  <c r="F139" i="1"/>
  <c r="G138" i="1"/>
  <c r="H138" i="1" s="1"/>
  <c r="G137" i="1"/>
  <c r="H137" i="1" s="1"/>
  <c r="G136" i="1"/>
  <c r="G135" i="1"/>
  <c r="H135" i="1" s="1"/>
  <c r="G134" i="1"/>
  <c r="H134" i="1" s="1"/>
  <c r="G133" i="1"/>
  <c r="H133" i="1" s="1"/>
  <c r="G132" i="1"/>
  <c r="H132" i="1" s="1"/>
  <c r="G131" i="1"/>
  <c r="H131" i="1" s="1"/>
  <c r="G130" i="1"/>
  <c r="H130" i="1" s="1"/>
  <c r="G129" i="1"/>
  <c r="H129" i="1" s="1"/>
  <c r="G128" i="1"/>
  <c r="H128" i="1" s="1"/>
  <c r="H127" i="1"/>
  <c r="G126" i="1"/>
  <c r="H126" i="1" s="1"/>
  <c r="G125" i="1"/>
  <c r="H125" i="1" s="1"/>
  <c r="G124" i="1"/>
  <c r="H124" i="1" s="1"/>
  <c r="G123" i="1"/>
  <c r="H123" i="1" s="1"/>
  <c r="G122" i="1"/>
  <c r="H122" i="1" s="1"/>
  <c r="G121" i="1"/>
  <c r="H121" i="1" s="1"/>
  <c r="G120" i="1"/>
  <c r="H120" i="1" s="1"/>
  <c r="G119" i="1"/>
  <c r="H119" i="1" s="1"/>
  <c r="G118" i="1"/>
  <c r="H118" i="1" s="1"/>
  <c r="G117" i="1"/>
  <c r="H117" i="1" s="1"/>
  <c r="G116" i="1"/>
  <c r="H116" i="1" s="1"/>
  <c r="H139" i="1" l="1"/>
  <c r="G115" i="1"/>
  <c r="G114" i="1"/>
  <c r="G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G104" i="1"/>
  <c r="G103" i="1"/>
  <c r="G102" i="1"/>
  <c r="F102" i="1"/>
  <c r="G101" i="1"/>
  <c r="G100" i="1"/>
  <c r="G99" i="1"/>
  <c r="F99" i="1"/>
  <c r="G98" i="1"/>
  <c r="F98" i="1"/>
  <c r="G97" i="1"/>
  <c r="F97" i="1"/>
  <c r="G96" i="1"/>
  <c r="F96" i="1"/>
  <c r="G95" i="1"/>
  <c r="F95" i="1"/>
  <c r="H143" i="1"/>
  <c r="H144" i="1"/>
  <c r="H145" i="1"/>
  <c r="H146" i="1"/>
  <c r="H147" i="1"/>
  <c r="G94" i="1"/>
  <c r="G93" i="1"/>
  <c r="G92" i="1"/>
  <c r="G91" i="1"/>
  <c r="G90" i="1"/>
  <c r="F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H68" i="1" l="1"/>
  <c r="H69" i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F70" i="1"/>
  <c r="G67" i="1"/>
  <c r="H67" i="1" s="1"/>
  <c r="G66" i="1"/>
  <c r="H66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F59" i="1"/>
  <c r="G58" i="1"/>
  <c r="H58" i="1" s="1"/>
  <c r="G57" i="1"/>
  <c r="H57" i="1" s="1"/>
  <c r="G56" i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G41" i="1"/>
  <c r="G40" i="1"/>
  <c r="G39" i="1"/>
  <c r="G38" i="1"/>
  <c r="G37" i="1"/>
  <c r="G36" i="1"/>
  <c r="G35" i="1"/>
  <c r="G34" i="1"/>
  <c r="F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H59" i="1" l="1"/>
  <c r="H70" i="1"/>
  <c r="H111" i="1" l="1"/>
  <c r="H175" i="1" l="1"/>
  <c r="H174" i="1"/>
  <c r="H163" i="1"/>
  <c r="H148" i="1"/>
  <c r="H149" i="1"/>
  <c r="H82" i="1"/>
  <c r="H81" i="1"/>
  <c r="H80" i="1"/>
  <c r="H78" i="1"/>
  <c r="H77" i="1"/>
  <c r="H56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3" i="1"/>
  <c r="H22" i="1"/>
  <c r="H21" i="1"/>
  <c r="H20" i="1"/>
  <c r="H19" i="1"/>
  <c r="H18" i="1"/>
  <c r="H16" i="1"/>
  <c r="H15" i="1"/>
  <c r="H14" i="1"/>
  <c r="H13" i="1"/>
  <c r="H11" i="1"/>
  <c r="H83" i="1"/>
  <c r="H136" i="1"/>
  <c r="H115" i="1"/>
  <c r="H114" i="1"/>
  <c r="H113" i="1"/>
  <c r="H112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12" i="1" l="1"/>
  <c r="H98" i="1"/>
  <c r="H79" i="1"/>
  <c r="H17" i="1"/>
  <c r="H24" i="1"/>
  <c r="H186" i="1" l="1"/>
  <c r="H150" i="1" l="1"/>
  <c r="H187" i="1" l="1"/>
</calcChain>
</file>

<file path=xl/sharedStrings.xml><?xml version="1.0" encoding="utf-8"?>
<sst xmlns="http://schemas.openxmlformats.org/spreadsheetml/2006/main" count="1055" uniqueCount="389">
  <si>
    <t>Сумма планируемая для закупки, тенге (без учета НДС)</t>
  </si>
  <si>
    <t>запрос ценовых предложений</t>
  </si>
  <si>
    <t>№       п/п</t>
  </si>
  <si>
    <t>Итого по товарам:</t>
  </si>
  <si>
    <t>Итого по услугам:</t>
  </si>
  <si>
    <t>Итого по разделу 1:</t>
  </si>
  <si>
    <t>услуга</t>
  </si>
  <si>
    <t>Наименование закупаемых товаров, работ, услуг</t>
  </si>
  <si>
    <t>Краткая характеристика (описание) товаров, работ, услуг</t>
  </si>
  <si>
    <t>Наименование организатора закупок</t>
  </si>
  <si>
    <t>Количество/объем</t>
  </si>
  <si>
    <t xml:space="preserve">Способ осуществления закупок/ п. 3.1. Правил </t>
  </si>
  <si>
    <t>Единица измерения</t>
  </si>
  <si>
    <t>Товары</t>
  </si>
  <si>
    <t>Услуги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</si>
  <si>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</si>
  <si>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>набор</t>
  </si>
  <si>
    <t>шт.</t>
  </si>
  <si>
    <t>флакон</t>
  </si>
  <si>
    <t>уп.</t>
  </si>
  <si>
    <t>пачка</t>
  </si>
  <si>
    <t>л.</t>
  </si>
  <si>
    <t>пакет</t>
  </si>
  <si>
    <t>Бланк с логотипом компании. Полная техническая характеристика согласно технической спецификации.</t>
  </si>
  <si>
    <t>Визитные карточки с логотипом компании. Полная техническая характеристика согласно технической спецификации.</t>
  </si>
  <si>
    <t>Блокнот А-5 на пружине. Полная техническая характеристика согласно технической спецификации.</t>
  </si>
  <si>
    <t>Ручка с логотипом компании. Полная техническая характеристика согласно технической спецификации.</t>
  </si>
  <si>
    <t>Пакет бумажный с логотипом компании А3. Полная техническая характеристика согласно технической спецификации.</t>
  </si>
  <si>
    <t>Папка с подъемом. Полная техническая характеристика согласно технической спецификации.</t>
  </si>
  <si>
    <t>Цена за единицу товара, тенге (без учета НДС)</t>
  </si>
  <si>
    <t>Абон.плата за доступ к сети Интернет выделенная линия</t>
  </si>
  <si>
    <t>Ремонт и чистка диспенсеров для воды</t>
  </si>
  <si>
    <t>Ремонт и чистка кофемашины</t>
  </si>
  <si>
    <t>Ремонт и чистка кофемашины. Полная техническая характеристика согласно технической спецификации.</t>
  </si>
  <si>
    <t>Транспортные расходы (аренда автомобиля без водителя)</t>
  </si>
  <si>
    <t>Транспортные расходы (аренда автомобиля без водителя). Полная техническая характеристика согласно технической спецификации.</t>
  </si>
  <si>
    <t>Услуги подшивки документов, переплета</t>
  </si>
  <si>
    <t>Услуги подшивки документов, переплета. Полная техническая характеристика согласно технической спецификации.</t>
  </si>
  <si>
    <t>Услуги по развозке работников</t>
  </si>
  <si>
    <t>Услуги сборки разборки мебели. Полная техническая характеристика согласно технической спецификации.</t>
  </si>
  <si>
    <t>Услуги по развозке работников. Полная техническая характеристика согласно технической спецификации.</t>
  </si>
  <si>
    <t>82949_Психология . Журнал Высшей школы экономики / Psychology. Journal of the Higher School of Economics</t>
  </si>
  <si>
    <t>Абонентское обслуживание ИС "Параграф"</t>
  </si>
  <si>
    <t>Расходы по уничтожению, изготовлению печатей и штампов</t>
  </si>
  <si>
    <t>Корпоративный фонд «NAC Analytica»</t>
  </si>
  <si>
    <t>Услуги по организации празднования Нового года</t>
  </si>
  <si>
    <t>Предоставление абонентской линии</t>
  </si>
  <si>
    <t xml:space="preserve">Методическая литература зарубежных изданий </t>
  </si>
  <si>
    <t>подписка на периодич. издание</t>
  </si>
  <si>
    <t>Расходы по уничтожению, изготовлению печатей и штампов. Полная техническая характеристика согласно технической спецификации.</t>
  </si>
  <si>
    <t>Расходы по организации корпоративных мероприятий. Полная техническая характеристика согласно технической спецификации.</t>
  </si>
  <si>
    <t>Услуги по организации празднования Нового года. Полная техническая характеристика согласно технической спецификации.</t>
  </si>
  <si>
    <t>пп. 8) п. 3.1. Правил</t>
  </si>
  <si>
    <t>пп. 15) п. 3.1. Правил</t>
  </si>
  <si>
    <t>пп. 21) п. 3.1. Правил</t>
  </si>
  <si>
    <t>пп. 4) п. 3.1. Правил</t>
  </si>
  <si>
    <t>Услуги перевозки имущества</t>
  </si>
  <si>
    <t>Услуги перевозки имущества. Полная техническая характеристика согласно технической спецификации.</t>
  </si>
  <si>
    <t>Доска презентационная 50*70 см</t>
  </si>
  <si>
    <t>Стирательная резинка</t>
  </si>
  <si>
    <t>Бумага офисная А4, 500 л., 80 гр.</t>
  </si>
  <si>
    <t>Бумага для флипчарта в блоках по 10 листов</t>
  </si>
  <si>
    <t>Степлер 24/6, 26/6 до 25 л.</t>
  </si>
  <si>
    <t>Лента клейкая (скотч) 48мм</t>
  </si>
  <si>
    <t>Маркер для доски (набор из 4 цветов)</t>
  </si>
  <si>
    <t>Калькулятор - 12 раз.</t>
  </si>
  <si>
    <t>Ножницы из нерж.стали 14 см. с пластмасс.ручками</t>
  </si>
  <si>
    <t xml:space="preserve">Ручка гелевая синий стержень, стирающийся стержень </t>
  </si>
  <si>
    <t>Скоросшиватель А4</t>
  </si>
  <si>
    <t>Индекс стрелка</t>
  </si>
  <si>
    <t>Регистратор для документов (папка)</t>
  </si>
  <si>
    <t xml:space="preserve">Файл прозрачный, 100 мкм </t>
  </si>
  <si>
    <t>Нож канцелярский 18 мм. усиленный</t>
  </si>
  <si>
    <t>Линейка пластиковая 30 см. прозрачная</t>
  </si>
  <si>
    <t>Ручка шариковая автомат. синяя паста</t>
  </si>
  <si>
    <t>Скобы 24/6. 1000 шт. стальные</t>
  </si>
  <si>
    <t>Губка пластиковая для маркерной доски</t>
  </si>
  <si>
    <t>Органайзер настольный 9 предметов вращающийся</t>
  </si>
  <si>
    <t>Жидкость для очистки маркерной доски, 200 мл.</t>
  </si>
  <si>
    <t xml:space="preserve">Папка с файлами А4 20 </t>
  </si>
  <si>
    <t>Скрепочница магнитная 58 х 72 мм</t>
  </si>
  <si>
    <t>Корректирующая жидкость с кисточкой, 20 мл. на водной основе</t>
  </si>
  <si>
    <t>Корректирующий роллер 5 мм</t>
  </si>
  <si>
    <t>Лента клейкая 19 мм</t>
  </si>
  <si>
    <t>Диспенсер для клейкой ленты</t>
  </si>
  <si>
    <t>Линейка пластиковая 20 см.</t>
  </si>
  <si>
    <t>Маркер в наборе (4 цвета)</t>
  </si>
  <si>
    <t>Папка для бумаг 320 г/м2. с завязками</t>
  </si>
  <si>
    <t>Скоросшиватель картонный белый</t>
  </si>
  <si>
    <t>Архивный короб на завязках, 250х75х320 мм., микрогофрокартон, белый</t>
  </si>
  <si>
    <t>Журнал исходящей корреспонденции</t>
  </si>
  <si>
    <t>Журнал входящей корреспонденции</t>
  </si>
  <si>
    <t>Журнал регистрации доверенностей</t>
  </si>
  <si>
    <t>Антистеплер для скоб №10 черный</t>
  </si>
  <si>
    <t>Дырокол до 35 листов, металл.корпус</t>
  </si>
  <si>
    <t>Подставка для визиток прозрачный</t>
  </si>
  <si>
    <t>Конверт 229 х 324 мм.</t>
  </si>
  <si>
    <t>Конверт 110 х 220 мм.</t>
  </si>
  <si>
    <t>Папка на резинках А4 плотная - 2 отдела</t>
  </si>
  <si>
    <t>Установщик люверсов</t>
  </si>
  <si>
    <t>Клей карандаш</t>
  </si>
  <si>
    <t>Краска штемпельная синяя 30 мл.</t>
  </si>
  <si>
    <t>Доска презентационная 50*70 см. Полная техническая характеристика согласно технической спецификации.</t>
  </si>
  <si>
    <t>Стирательная резинка. Полная техническая характеристика согласно технической спецификации.</t>
  </si>
  <si>
    <t>Бумага офисная А4, 500 л., 80 гр. Полная техническая характеристика согласно технической спецификации.</t>
  </si>
  <si>
    <t>Бумага для флипчарта в блоках по 10 листов. Полная техническая характеристика согласно технической спецификации.</t>
  </si>
  <si>
    <t>Степлер 24/6, 26/6 до 25 л. Полная техническая характеристика согласно технической спецификации.</t>
  </si>
  <si>
    <t>Лента клейкая (скотч) 48мм. Полная техническая характеристика согласно технической спецификации.</t>
  </si>
  <si>
    <t>Маркер для доски (набор из 4 цветов). Полная техническая характеристика согласно технической спецификации.</t>
  </si>
  <si>
    <t>Калькулятор - 12 раз. Полная техническая характеристика согласно технической спецификации.</t>
  </si>
  <si>
    <t>Ножницы из нерж.стали 14 см. с пластмасс.ручками. Полная техническая характеристика согласно технической спецификации.</t>
  </si>
  <si>
    <t>Ручка гелевая синий стержень, стирающийся стержень. Полная техническая характеристика согласно технической спецификации.</t>
  </si>
  <si>
    <t>Скоросшиватель А4. Полная техническая характеристика согласно технической спецификации.</t>
  </si>
  <si>
    <t>Индекс стрелка. Полная техническая характеристика согласно технической спецификации.</t>
  </si>
  <si>
    <t>Регистратор для документов (папка). Полная техническая характеристика согласно технической спецификации.</t>
  </si>
  <si>
    <t>Файл прозрачный, 100 мкм. Полная техническая характеристика согласно технической спецификации.</t>
  </si>
  <si>
    <t>Нож канцелярский 18 мм. Усиленный. Полная техническая характеристика согласно технической спецификации.</t>
  </si>
  <si>
    <t>Линейка пластиковая 30 см. прозрачная. Полная техническая характеристика согласно технической спецификации.</t>
  </si>
  <si>
    <t>Ручка шариковая автомат. синяя паста. Полная техническая характеристика согласно технической спецификации.</t>
  </si>
  <si>
    <t>Скобы 24/6. 1000 шт. стальные. Полная техническая характеристика согласно технической спецификации.</t>
  </si>
  <si>
    <t>Губка пластиковая для маркерной доски. Полная техническая характеристика согласно технической спецификации.</t>
  </si>
  <si>
    <t>Органайзер настольный 9 предметов вращающийся. Полная техническая характеристика согласно технической спецификации.</t>
  </si>
  <si>
    <t>Жидкость для очистки маркерной доски, 200 мл. Полная техническая характеристика согласно технической спецификации.</t>
  </si>
  <si>
    <t>Папка с файлами А4 20. Полная техническая характеристика согласно технической спецификации.</t>
  </si>
  <si>
    <t>Скрепочница магнитная 58 х 72 мм. Полная техническая характеристика согласно технической спецификации.</t>
  </si>
  <si>
    <t>Корректирующая жидкость с кисточкой, 20 мл. на водной основе. Полная техническая характеристика согласно технической спецификации.</t>
  </si>
  <si>
    <t>Корректирующий роллер 5 мм. Полная техническая характеристика согласно технической спецификации.</t>
  </si>
  <si>
    <t>Лента клейкая 19 мм. Полная техническая характеристика согласно технической спецификации.</t>
  </si>
  <si>
    <t>Диспенсер для клейкой ленты. Полная техническая характеристика согласно технической спецификации.</t>
  </si>
  <si>
    <t>Линейка пластиковая 20 см. Полная техническая характеристика согласно технической спецификации.</t>
  </si>
  <si>
    <t>Маркер в наборе (4 цвета). Полная техническая характеристика согласно технической спецификации.</t>
  </si>
  <si>
    <t>Папка для бумаг 320 г/м2. с завязками. Полная техническая характеристика согласно технической спецификации.</t>
  </si>
  <si>
    <t>Скоросшиватель картонный белый. Полная техническая характеристика согласно технической спецификации.</t>
  </si>
  <si>
    <t>Архивный короб на завязках, 250х75х320 мм., микрогофрокартон, белый. Полная техническая характеристика согласно технической спецификации.</t>
  </si>
  <si>
    <t>Журнал исходящей корреспонденции. Полная техническая характеристика согласно технической спецификации.</t>
  </si>
  <si>
    <t>Журнал входящей корреспонденции. Полная техническая характеристика согласно технической спецификации.</t>
  </si>
  <si>
    <t>Журнал регистрации доверенностей. Полная техническая характеристика согласно технической спецификации.</t>
  </si>
  <si>
    <t>Антистеплер для скоб №10 черный. Полная техническая характеристика согласно технической спецификации.</t>
  </si>
  <si>
    <t>Дырокол до 35 листов, металл.корпус. Полная техническая характеристика согласно технической спецификации.</t>
  </si>
  <si>
    <t>Подставка для визиток прозрачный. Полная техническая характеристика согласно технической спецификации.</t>
  </si>
  <si>
    <t>Конверт 229 х 324 мм. Полная техническая характеристика согласно технической спецификации.</t>
  </si>
  <si>
    <t>Конверт 110 х 220 мм. Полная техническая характеристика согласно технической спецификации.</t>
  </si>
  <si>
    <t>Папка на резинках А4 плотная - 2 отдела. Полная техническая характеристика согласно технической спецификации.</t>
  </si>
  <si>
    <t>Установщик люверсов. Полная техническая характеристика согласно технической спецификации.</t>
  </si>
  <si>
    <t>Клей карандаш. Полная техническая характеристика согласно технической спецификации.</t>
  </si>
  <si>
    <t>Краска штемпельная синяя 30 мл. Полная техническая характеристика согласно технической спецификации.</t>
  </si>
  <si>
    <t>Антивирусное програмное обеспечение (продление на 1 год)</t>
  </si>
  <si>
    <t>Коврик для мышки</t>
  </si>
  <si>
    <t>Настольный набор с часами из кожи высокого качества, черный,  10 предметов</t>
  </si>
  <si>
    <t>Антивирусное програмное обеспечение (продление на 1 год).  Полная техническая характеристика согласно технической спецификации.</t>
  </si>
  <si>
    <t>Коврик для мышки.  Полная техническая характеристика согласно технической спецификации.</t>
  </si>
  <si>
    <t>Настольный набор с часами из кожи высокого качества, черный,  10 предметов.  Полная техническая характеристика согласно технической спецификации.</t>
  </si>
  <si>
    <t>Бензин АИ-92</t>
  </si>
  <si>
    <t>Бензин АИ-95</t>
  </si>
  <si>
    <t>Незамерзающая жидкость для стекол, 5 л.</t>
  </si>
  <si>
    <t>Автошины 235/60 R18 107Т</t>
  </si>
  <si>
    <t>Набор инструментов для автомобиля, 86 шт.</t>
  </si>
  <si>
    <t>Набор ключей рожковых, 10 шт.</t>
  </si>
  <si>
    <t>Рамка для номера</t>
  </si>
  <si>
    <t>Бензин АИ-92. Полная техническая характеристика согласно технической спецификации.</t>
  </si>
  <si>
    <t>Бензин АИ-95. Полная техническая характеристика согласно технической спецификации.</t>
  </si>
  <si>
    <t>Незамерзающая жидкость для стекол, 5 л. Полная техническая характеристика согласно технической спецификации.</t>
  </si>
  <si>
    <t>Автошины 235/60 R18 107Т. Полная техническая характеристика согласно технической спецификации.</t>
  </si>
  <si>
    <t>Набор инструментов для автомобиля, 86 шт. Полная техническая характеристика согласно технической спецификации.</t>
  </si>
  <si>
    <t>Набор ключей рожковых, 10 шт. Полная техническая характеристика согласно технической спецификации.</t>
  </si>
  <si>
    <t>Рамка для номера. Полная техническая характеристика согласно технической спецификации.</t>
  </si>
  <si>
    <t>Вода питьевая 19 л.</t>
  </si>
  <si>
    <t>Вода питьевая негазированная в бутылях 0,5 литров</t>
  </si>
  <si>
    <t>Вода питьевая негазированная 0,33 л.</t>
  </si>
  <si>
    <t>Стаканы пластиковые одноразовые для  хол и горячих напитков</t>
  </si>
  <si>
    <t>Средство очистки от накипи для кофемашины</t>
  </si>
  <si>
    <t>Кофе в зернах</t>
  </si>
  <si>
    <t>Сироп для кофе</t>
  </si>
  <si>
    <t>Молоко в тетра пакетах</t>
  </si>
  <si>
    <t>Сахар рафинированный в пачках 1 кг</t>
  </si>
  <si>
    <t>Чай черный в упаковке 100 пакетиков</t>
  </si>
  <si>
    <t>Чай зеленый в упаковке 100 пакетиков</t>
  </si>
  <si>
    <t>Моющее средство для мытья посуды 450 мл.</t>
  </si>
  <si>
    <t>Перчатки резиновые</t>
  </si>
  <si>
    <t>Салфетки в коробке</t>
  </si>
  <si>
    <t>Чистящее средство для кухонных поверхностей  500 мл.</t>
  </si>
  <si>
    <t>Салфетки бытовые для кухни 5 шт.</t>
  </si>
  <si>
    <t xml:space="preserve">Губка бытовая </t>
  </si>
  <si>
    <t>Перчатки ХБ с двухсторонним ПВХ</t>
  </si>
  <si>
    <t>Аллюминиевый светильник 25,5 Ватт, высотой 40 см. черный</t>
  </si>
  <si>
    <t>Аккумуляторная дрель-шуруповерт 1,5 А</t>
  </si>
  <si>
    <t>Вода питьевая 19 л. Полная техническая характеристика согласно технической спецификации.</t>
  </si>
  <si>
    <t>Вода питьевая негазированная в бутылях 0,5 литров. Полная техническая характеристика согласно технической спецификации.</t>
  </si>
  <si>
    <t>Вода питьевая негазированная 0,33 л. Полная техническая характеристика согласно технической спецификации.</t>
  </si>
  <si>
    <t>Стаканы пластиковые одноразовые для  хол и горячих напитков. Полная техническая характеристика согласно технической спецификации.</t>
  </si>
  <si>
    <t>Средство очистки от накипи для кофемашины. Полная техническая характеристика согласно технической спецификации.</t>
  </si>
  <si>
    <t>Кофе в зернах. Полная техническая характеристика согласно технической спецификации.</t>
  </si>
  <si>
    <t>Сироп для кофе. Полная техническая характеристика согласно технической спецификации.</t>
  </si>
  <si>
    <t>Молоко в тетра пакетах. Полная техническая характеристика согласно технической спецификации.</t>
  </si>
  <si>
    <t>Сахар рафинированный в пачках 1 кг. Полная техническая характеристика согласно технической спецификации.</t>
  </si>
  <si>
    <t>Чай черный в упаковке 100 пакетиков. Полная техническая характеристика согласно технической спецификации.</t>
  </si>
  <si>
    <t>Чай зеленый в упаковке 100 пакетиков. Полная техническая характеристика согласно технической спецификации.</t>
  </si>
  <si>
    <t>Моющее средство для мытья посуды 450 мл. Полная техническая характеристика согласно технической спецификации.</t>
  </si>
  <si>
    <t>Перчатки резиновые. Полная техническая характеристика согласно технической спецификации.</t>
  </si>
  <si>
    <t>Салфетки в коробке. Полная техническая характеристика согласно технической спецификации.</t>
  </si>
  <si>
    <t>Чистящее средство для кухонных поверхностей  500 мл. Полная техническая характеристика согласно технической спецификации.</t>
  </si>
  <si>
    <t>Салфетки бытовые для кухни 5 шт. Полная техническая характеристика согласно технической спецификации.</t>
  </si>
  <si>
    <t>Губка бытовая. Полная техническая характеристика согласно технической спецификации.</t>
  </si>
  <si>
    <t>Перчатки ХБ с двухсторонним ПВХ. Полная техническая характеристика согласно технической спецификации.</t>
  </si>
  <si>
    <t>Аллюминиевый светильник 25,5 Ватт, высотой 40 см. черный. Полная техническая характеристика согласно технической спецификации.</t>
  </si>
  <si>
    <t>Аккумуляторная дрель-шуруповерт 1,5 А. Полная техническая характеристика согласно технической спецификации.</t>
  </si>
  <si>
    <t>Программное обеспечение Acrobat Pro (бессрочная лицензия)</t>
  </si>
  <si>
    <t>Програмное обеспечение Windows server 2016</t>
  </si>
  <si>
    <t>Развитие ИАС по проведению телефонных и веб-опросов</t>
  </si>
  <si>
    <t>Financial Instruments Toolbox NP NU</t>
  </si>
  <si>
    <t xml:space="preserve">Программное обеспечение RATS Professional (стандартная версия на 1 пользователя) </t>
  </si>
  <si>
    <t xml:space="preserve">Информационная система электронного документооборота и автоматизации бизнес-процессов </t>
  </si>
  <si>
    <t xml:space="preserve">1с: Предприятие 8 Бухгалтерия для Казахстана </t>
  </si>
  <si>
    <t>Программное обеспечение Office Professional 2016 32-bit/x64</t>
  </si>
  <si>
    <t>Программное обеспечение Acrobat Pro (бессрочная лицензия). Полная техническая характеристика согласно технической спецификации.</t>
  </si>
  <si>
    <t>Програмное обеспечение Windows server 2016. Полная техническая характеристика согласно технической спецификации.</t>
  </si>
  <si>
    <t>Развитие ИАС по проведению телефонных и веб-опросов. Полная техническая характеристика согласно технической спецификации.</t>
  </si>
  <si>
    <t>Financial Instruments Toolbox NP NU. Полная техническая характеристика согласно технической спецификации.</t>
  </si>
  <si>
    <t>Программное обеспечение RATS Professional (стандартная версия на 1 пользователя). Полная техническая характеристика согласно технической спецификации.</t>
  </si>
  <si>
    <t>Информационная система электронного документооборота и автоматизации бизнес-процессов. Полная техническая характеристика согласно технической спецификации.</t>
  </si>
  <si>
    <t>1с: Предприятие 8 Бухгалтерия для Казахстана. Полная техническая характеристика согласно технической спецификации.</t>
  </si>
  <si>
    <t>Программное обеспечение Office Professional 2016 32-bit/x64. Полная техническая характеристика согласно технической спецификации.</t>
  </si>
  <si>
    <t>Тендер</t>
  </si>
  <si>
    <t xml:space="preserve">Блок питания для сервера Asus Power Supply </t>
  </si>
  <si>
    <t>Вспышка к фотоаппарату Canon Speedlite 600EX II-RT</t>
  </si>
  <si>
    <t>Оперативная память DDR-4 DIMM 8 Gb / 2400 MHz</t>
  </si>
  <si>
    <t>Блок питания для сервера Asus Power Supply. Полная техническая характеристика согласно технической спецификации.</t>
  </si>
  <si>
    <t>Вспышка к фотоаппарату Canon Speedlite 600EX II-RT. Полная техническая характеристика согласно технической спецификации.</t>
  </si>
  <si>
    <t>Оперативная память DDR-4 DIMM 8 Gb / 2400 MHz. Полная техническая характеристика согласно технической спецификации.</t>
  </si>
  <si>
    <t>раб. мест.</t>
  </si>
  <si>
    <t>Ковер</t>
  </si>
  <si>
    <t>Кресло кожанное с синхромеханизмом качания с регулировкой под вес и фиксацией в нескольких положениях, регулировкой высоты (газлифт)</t>
  </si>
  <si>
    <t>Ковер. Полная техническая характеристика согласно технической спецификации.</t>
  </si>
  <si>
    <t>Кресло кожанное с синхромеханизмом качания с регулировкой под вес и фиксацией в нескольких положениях, регулировкой высоты (газлифт). Полная техническая характеристика согласно технической спецификации.</t>
  </si>
  <si>
    <t>Тележка для перевозки грузов 700х1250 мм., нагрузка 300 кг.</t>
  </si>
  <si>
    <t>Обогреватель</t>
  </si>
  <si>
    <t>Тележка хозяйственная складная, макс. нагрузка 90 кг.</t>
  </si>
  <si>
    <t>Тележка для перевозки грузов 700х1250 мм., нагрузка 300 кг. Полная техническая характеристика согласно технической спецификации.</t>
  </si>
  <si>
    <t>Обогреватель. Полная техническая характеристика согласно технической спецификации.</t>
  </si>
  <si>
    <t>Тележка хозяйственная складная, макс. нагрузка 90 кг. Полная техническая характеристика согласно технической спецификации.</t>
  </si>
  <si>
    <t>Бланк с логотипом компании</t>
  </si>
  <si>
    <t xml:space="preserve">Календарь настольный </t>
  </si>
  <si>
    <t>Визитные карточки с логотипом компании</t>
  </si>
  <si>
    <t>Буклет</t>
  </si>
  <si>
    <t>Пакет бумажный с логотипом компании А4</t>
  </si>
  <si>
    <t>Записная книжка А5</t>
  </si>
  <si>
    <t xml:space="preserve">Блокнот А-4 на пружине </t>
  </si>
  <si>
    <t xml:space="preserve">Блокнот А-5 на пружине </t>
  </si>
  <si>
    <t>Ручка с логотипом компании</t>
  </si>
  <si>
    <t>Папка биговка</t>
  </si>
  <si>
    <t>Пакет бумажный с логотипом компании А3</t>
  </si>
  <si>
    <t>Папка с подъемом</t>
  </si>
  <si>
    <t>Флажок настольный</t>
  </si>
  <si>
    <t>Календарь настольный. Полная техническая характеристика согласно технической спецификации.</t>
  </si>
  <si>
    <t>Буклет. Полная техническая характеристика согласно технической спецификации.</t>
  </si>
  <si>
    <t>Пакет бумажный с логотипом компании А4. Полная техническая характеристика согласно технической спецификации.</t>
  </si>
  <si>
    <t>Записная книжка А5. Полная техническая характеристика согласно технической спецификации.</t>
  </si>
  <si>
    <t>Блокнот А-4 на пружине. Полная техническая характеристика согласно технической спецификации.</t>
  </si>
  <si>
    <t>Папка биговка. Полная техническая характеристика согласно технической спецификации.</t>
  </si>
  <si>
    <t>Флажок настольный. Полная техническая характеристика согласно технической спецификации.</t>
  </si>
  <si>
    <t>Публикация книги 3 томного издания «Китайская традиционная парадигма для построения современных управленческих стратегий»</t>
  </si>
  <si>
    <t>Публикация журналов, обзоров</t>
  </si>
  <si>
    <t>Публикация книги 3 томного издания «Китайская традиционная парадигма для построения современных управленческих стратегий». Полная техническая характеристика согласно технической спецификации.</t>
  </si>
  <si>
    <t>Публикация журналов, обзоров. Полная техническая характеристика согласно технической спецификации.</t>
  </si>
  <si>
    <t>Техобслуживание и ремонт автомобиля, в т.ч. диагностика служебного автомобиля Kia Sorento</t>
  </si>
  <si>
    <t>Техобслуживание и ремонт автомобиля, в т.ч. диагностика служебного автомобиля Kia Sorento. Полная техническая характеристика согласно технической спецификации.</t>
  </si>
  <si>
    <t>Услуги мойки автомобиля на 2 служебных автомобиля</t>
  </si>
  <si>
    <t>Услуги мойки автомобиля на 2 служебных автомобиля. Полная техническая характеристика согласно технической спецификации.</t>
  </si>
  <si>
    <t>Шиномонтаж служебного автомобиля Kia Sorento</t>
  </si>
  <si>
    <t>Шиномонтаж служебного автомобиля Kia Sorento. Полная техническая характеристика согласно технической спецификации.</t>
  </si>
  <si>
    <t>Техническое обслуживание и ремонт телефонов, компьютеров, перифериного оборудования, цветного принтера XEROX 7120, 7220</t>
  </si>
  <si>
    <t>Техническое обслуживание и ремонт телефонов, компьютеров, перифериного оборудования, цветного принтера XEROX 7120, 7220. Полная техническая характеристика согласно технической спецификации.</t>
  </si>
  <si>
    <t>Ремонт и чистка диспенсеров для воды.Полная техническая характеристика согласно технической спецификации.</t>
  </si>
  <si>
    <t>Услуги письменного перевода (с русского языка на английский язык и с английского языка на русский язык).</t>
  </si>
  <si>
    <t>Услуги письменного перевода (с русского языка на английский язык и с английского языка на русский язык). Полная техническая характеристика согласно технической спецификации.</t>
  </si>
  <si>
    <t>Услуги письменного перевода (с русского языка на казахский язык).</t>
  </si>
  <si>
    <t>Услуги письменного перевода (с русского языка на казахский язык). Полная техническая характеристика согласно технической спецификации.</t>
  </si>
  <si>
    <t>Сопровождение программы 1С:Предприятие 8 и 1:С Зарплата и Управление Персоналом 8</t>
  </si>
  <si>
    <t>Доработка 1С:Предприятие 8 и 1:С Зарплата и Управление Персоналом 8</t>
  </si>
  <si>
    <t xml:space="preserve">Услуги сборки разборки мебели </t>
  </si>
  <si>
    <t>Сопровождение программы 1С:Предприятие 8 и 1:С Зарплата и Управление Персоналом 8. Полная техническая характеристика согласно технической спецификации.</t>
  </si>
  <si>
    <t>Доработка 1С:Предприятие 8 и 1:С Зарплата и Управление Персоналом 8. Полная техническая характеристика согласно технической спецификации.</t>
  </si>
  <si>
    <t>Расходы по организации корпоративных мероприятий</t>
  </si>
  <si>
    <t>Услуги фото и видеосьемки корпоративных мероприятий</t>
  </si>
  <si>
    <t>Услуги фото и видеосьемки корпоративных мероприятий. Полная техническая характеристика согласно технической спецификации.</t>
  </si>
  <si>
    <t xml:space="preserve">Услуги аудита финансовой отчетности за 2019 год </t>
  </si>
  <si>
    <t xml:space="preserve">Услуги аудита финансовой отчетности за 2019 год. Полная техническая характеристика согласно технической спецификации. </t>
  </si>
  <si>
    <t>пп. 20) п. 3.1. Правил</t>
  </si>
  <si>
    <t xml:space="preserve">Абон.плата за доступ к сети Интернет выделенная линия. Полная техническая характеристика согласно технической спецификации. </t>
  </si>
  <si>
    <t xml:space="preserve">Предоставление абонентской линии. Полная техническая характеристика согласно технической спецификации. </t>
  </si>
  <si>
    <t>Услуги курьерские почтовые по доставке корреспонденции и посылок (Курьерские услуги)</t>
  </si>
  <si>
    <t xml:space="preserve">Услуги курьерские почтовые по доставке корреспонденции и посылок (Курьерские услуги)/ Полная техническая характеристика согласно технической спецификации. </t>
  </si>
  <si>
    <t>25200_ЭКСПЕРТ КАЗАХСТАН</t>
  </si>
  <si>
    <t>71500 ВМУ cеpия 18: Социология и политология</t>
  </si>
  <si>
    <t>86296 Социология: методология, методы, математическое моделирование</t>
  </si>
  <si>
    <t>Методическая литература</t>
  </si>
  <si>
    <t>36101_Бухгалтерский комплект Профессионал</t>
  </si>
  <si>
    <t>Пружина пластиковая - 12мм. Полная техническая характеристика согласно технической спецификации.</t>
  </si>
  <si>
    <t>Пружина пластиковая - 16мм. Полная техническая характеристика согласно технической спецификации.</t>
  </si>
  <si>
    <t>Пружина пластиковая - 51мм. Полная техническая характеристика согласно технической спецификации.</t>
  </si>
  <si>
    <t>Скрепки 26 мм. Полная техническая характеристика согласно технической спецификации.</t>
  </si>
  <si>
    <t>Кнопки гвоздики для доски цветные</t>
  </si>
  <si>
    <t>Кнопки гвоздики для доски цветные. Полная техническая характеристика согласно технической спецификации.</t>
  </si>
  <si>
    <t>Зажимы для бумаги 25 мм.</t>
  </si>
  <si>
    <t>Зажимы для бумаги 25 мм. Полная техническая характеристика согласно технической спецификации.</t>
  </si>
  <si>
    <t>Пружина пластиковая - 8мм.</t>
  </si>
  <si>
    <t>Пружина пластиковая - 10мм.</t>
  </si>
  <si>
    <t>Пружина пластиковая - 14мм.</t>
  </si>
  <si>
    <t>Пружина пластиковая - 8мм. Полная техническая характеристика согласно технической спецификации.</t>
  </si>
  <si>
    <t>Пружина пластиковая - 10мм. Полная техническая характеристика согласно технической спецификации.</t>
  </si>
  <si>
    <t>Пружина пластиковая - 14мм. Полная техническая характеристика согласно технической спецификации.</t>
  </si>
  <si>
    <t>Обложка д/переплета А4/1 л. проз. 200 мкр.</t>
  </si>
  <si>
    <t>Обложка д/переплета А4/1 л. проз. 200 мкр. Полная техническая характеристика согласно технической спецификации.</t>
  </si>
  <si>
    <t>Бумага д/заметок 9х9 см в пр. подставке 800 л.</t>
  </si>
  <si>
    <t>Бумага д/заметок 9х9 см в пр. подставке 800 л. Полная техническая характеристика согласно технической спецификации.</t>
  </si>
  <si>
    <t>DVD Диски</t>
  </si>
  <si>
    <t>DVD Диски. Полная техническая характеристика согласно технической спецификации.</t>
  </si>
  <si>
    <t>Скрепки 26 мм.</t>
  </si>
  <si>
    <t>Пружина пластиковая - 12 мм.</t>
  </si>
  <si>
    <t>Пружина пластиковая - 16 мм.</t>
  </si>
  <si>
    <t>Пружина пластиковая - 51 мм.</t>
  </si>
  <si>
    <t>Пружина пластиковая - 45 мм.</t>
  </si>
  <si>
    <t>Пружина пластиковая - 19 мм.</t>
  </si>
  <si>
    <t>Пружина пластиковая - 18мм.</t>
  </si>
  <si>
    <t>Пружина пластиковая - 18 мм. Полная техническая характеристика согласно технической спецификации.</t>
  </si>
  <si>
    <t>Пружина пластиковая - 19 мм. Полная техническая характеристика согласно технической спецификации.</t>
  </si>
  <si>
    <t>Пружина пластиковая - 45 мм. Полная техническая характеристика согласно технической спецификации.</t>
  </si>
  <si>
    <t>Зажим 19 мм.</t>
  </si>
  <si>
    <t>Зажим 19 мм. Полная техническая характеристика согласно технической спецификации.</t>
  </si>
  <si>
    <t>Скобы №10 стальные</t>
  </si>
  <si>
    <t>Скобы №10 стальные. Полная техническая характеристика согласно технической спецификации.</t>
  </si>
  <si>
    <t>Клейкие листки  76 * 76 мм.</t>
  </si>
  <si>
    <t>Клейкие листки  76 * 76 мм. Полная техническая характеристика согласно технической спецификации.</t>
  </si>
  <si>
    <t>Зажим 15 мм.</t>
  </si>
  <si>
    <t>Зажим 15 мм. Полная техническая характеристика согласно технической спецификации.</t>
  </si>
  <si>
    <t>Пленка для ламинирования А4 125 микрон</t>
  </si>
  <si>
    <t>Пленка для ламинирования А3 125 микрон</t>
  </si>
  <si>
    <t>Пленка для ламинирования А3 125 микрон. Полная техническая характеристика согласно технической спецификации.</t>
  </si>
  <si>
    <t>Пленка для ламинирования А4 125 микрон. Полная техническая характеристика согласно технической спецификации.</t>
  </si>
  <si>
    <t>Люверсы 4,8 мм.</t>
  </si>
  <si>
    <t>Люверсы 4,8 мм. Полная техническая характеристика согласно технической спецификации.</t>
  </si>
  <si>
    <t>Картридж лазерный для МФУ HP Color LaserJet Pro M274n</t>
  </si>
  <si>
    <t>Картридж лазерный голубой для МФУ HP Color LaserJet Pro M274n</t>
  </si>
  <si>
    <t>Картридж лазерный желтый для МФУ HP Color LaserJet Pro M274n</t>
  </si>
  <si>
    <t>Картридж лазерный пурпурный для МФУ HP Color LaserJet Pro M274n</t>
  </si>
  <si>
    <t>Картридж лазерный пурпурный для МФУ HP Color LaserJet Pro M274n.  Полная техническая характеристика согласно технической спецификации.</t>
  </si>
  <si>
    <t>Картридж лазерный желтый для МФУ HP Color LaserJet Pro M274n.  Полная техническая характеристика согласно технической спецификации.</t>
  </si>
  <si>
    <t>Картридж лазерный голубой для МФУ HP Color LaserJet Pro M274n.  Полная техническая характеристика согласно технической спецификации.</t>
  </si>
  <si>
    <t>Картридж лазерный для МФУ HP Color LaserJet Pro M274n.  Полная техническая характеристика согласно технической спецификации.</t>
  </si>
  <si>
    <t>Гарнитура для IP-телефонии</t>
  </si>
  <si>
    <t>Гарнитура для IP-телефонии.  Полная техническая характеристика согласно технической спецификации.</t>
  </si>
  <si>
    <t>Картридж для принтера Canon MF4870dn/dw черного цвета</t>
  </si>
  <si>
    <t>Картридж для принтера Canon MF4870dn/dw черного цвета.  Полная техническая характеристика согласно технической спецификации.</t>
  </si>
  <si>
    <t>Зарядное устройство для аккумуляторных батареек</t>
  </si>
  <si>
    <t>Зарядное устройство для аккумуляторных батареек.  Полная техническая характеристика согласно технической спецификации.</t>
  </si>
  <si>
    <t>Аккумулятор AA 1.2 В</t>
  </si>
  <si>
    <t>Аккумулятор AA 1.2 В.  Полная техническая характеристика согласно технической спецификации.</t>
  </si>
  <si>
    <t>Набор отверток диэлект. до 1000 В, проб.эл. - до 250В</t>
  </si>
  <si>
    <t>Набор отверток диэлект. до 1000 В, проб.эл. - до 250В. Полная техническая характеристика согласно технической спецификации.</t>
  </si>
  <si>
    <t xml:space="preserve">Жесткий диск HDD 5000 Gb </t>
  </si>
  <si>
    <t>Жесткий диск HDD 5000 Gb. Полная техническая характеристика согласно технической спецификации.</t>
  </si>
  <si>
    <t xml:space="preserve">VoIP-Телефон </t>
  </si>
  <si>
    <t>VoIP-Телефон. Полная техническая характеристика согласно технической спецификации.</t>
  </si>
  <si>
    <t xml:space="preserve">Компьютер </t>
  </si>
  <si>
    <t>Компьютер. Полная техническая характеристика согласно технической спецификации.</t>
  </si>
  <si>
    <t>Портативная накамерная радиосистема с петличным микрофоном</t>
  </si>
  <si>
    <t>Портативная накамерная радиосистема с петличным микрофоном. Полная техническая характеристика согласно технической спецификации.</t>
  </si>
  <si>
    <t>2.8._1</t>
  </si>
  <si>
    <t>2.8._2</t>
  </si>
  <si>
    <t>2.8._3</t>
  </si>
  <si>
    <t>2.8._4</t>
  </si>
  <si>
    <t>2.18._1</t>
  </si>
  <si>
    <t>2.18._2</t>
  </si>
  <si>
    <t>2.18._3</t>
  </si>
  <si>
    <t>2.18._4</t>
  </si>
  <si>
    <t>2.14._1</t>
  </si>
  <si>
    <t>2.14._2</t>
  </si>
  <si>
    <t>2.10.</t>
  </si>
  <si>
    <t>2.17.</t>
  </si>
  <si>
    <t>2.15.</t>
  </si>
  <si>
    <t>2.7.</t>
  </si>
  <si>
    <t>2.5.</t>
  </si>
  <si>
    <t>Реестр планируемых закупок товаров, работ, услуг на 2019 год</t>
  </si>
  <si>
    <t xml:space="preserve">Сетевой накопитель </t>
  </si>
  <si>
    <t>Сетевой накопитель. Полная техническая характеристика согласно технической спецификации.</t>
  </si>
  <si>
    <t xml:space="preserve">Печать ежемесячного журнала </t>
  </si>
  <si>
    <t>Печать ежемесячного журнала. Полная техническая характеристика согласно технической спецификации.</t>
  </si>
  <si>
    <t xml:space="preserve">Печать годового отчета </t>
  </si>
  <si>
    <t>Печать годового отчета. Полная техническая характеристика согласно технической спецификации.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</si>
</sst>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1" formatCode="_-* #,##0\ _р_._-;\-* #,##0\ _р_._-;_-* &quot;-&quot;\ _р_._-;_-@_-"/>
    <numFmt numFmtId="164" formatCode="_-* #,##0_р_._-;\-* #,##0_р_._-;_-* &quot;-&quot;_р_._-;_-@_-"/>
    <numFmt numFmtId="165" formatCode="_-* #,##0.00_р_._-;\-* #,##0.00_р_._-;_-* &quot;-&quot;??_р_._-;_-@_-"/>
    <numFmt numFmtId="166" formatCode="#."/>
    <numFmt numFmtId="167" formatCode="#.00"/>
    <numFmt numFmtId="168" formatCode="&quot;$&quot;#.00"/>
    <numFmt numFmtId="169" formatCode="#,##0_);\(#,##0\);0_);* @_)"/>
    <numFmt numFmtId="170" formatCode="#,##0.0_);\(#,##0.0\);0.0_);* @_)"/>
    <numFmt numFmtId="171" formatCode="#,##0.00_);\(#,##0.00\);0.00_);* @_)"/>
    <numFmt numFmtId="172" formatCode="#,##0.000_);\(#,##0.000\);0.000_);* @_)"/>
    <numFmt numFmtId="173" formatCode="#,##0.0000_);\(#,##0.0000\);0.0000_);* @_)"/>
    <numFmt numFmtId="174" formatCode="d\-mmm;[Red]&quot;Not date&quot;;&quot;-&quot;;[Red]* &quot;Not date&quot;"/>
    <numFmt numFmtId="175" formatCode="d\-mmm\-yyyy;[Red]&quot;Not date&quot;;&quot;-&quot;;[Red]* &quot;Not date&quot;"/>
    <numFmt numFmtId="176" formatCode="d\-mmm\-yyyy\ h:mm\ AM/PM;[Red]* &quot;Not date&quot;;&quot;-&quot;;[Red]* &quot;Not date&quot;"/>
    <numFmt numFmtId="177" formatCode="d/mm/yyyy;[Red]* &quot;Not date&quot;;&quot;-&quot;;[Red]* &quot;Not date&quot;"/>
    <numFmt numFmtId="178" formatCode="mm/dd/yyyy;[Red]* &quot;Not date&quot;;&quot;-&quot;;[Red]* &quot;Not date&quot;"/>
    <numFmt numFmtId="179" formatCode="mmm\-yy;[Red]* &quot;Not date&quot;;&quot;-&quot;;[Red]* &quot;Not date&quot;"/>
    <numFmt numFmtId="180" formatCode="0;\-0;0;* @"/>
    <numFmt numFmtId="181" formatCode="h:mm\ AM/PM;[Red]* &quot;Not time&quot;;\-;[Red]* &quot;Not time&quot;"/>
    <numFmt numFmtId="182" formatCode="[h]:mm;[Red]* &quot;Not time&quot;;[h]:mm;[Red]* &quot;Not time&quot;"/>
    <numFmt numFmtId="183" formatCode="0%;\-0%;0%;* @_%"/>
    <numFmt numFmtId="184" formatCode="0.0%;\-0.0%;0.0%;* @_%"/>
    <numFmt numFmtId="185" formatCode="0.00%;\-0.00%;0.00%;* @_%"/>
    <numFmt numFmtId="186" formatCode="0.000%;\-0.000%;0.000%;* @_%"/>
    <numFmt numFmtId="187" formatCode="&quot;$&quot;* #,##0_);&quot;$&quot;* \(#,##0\);&quot;$&quot;* 0_);* @_)"/>
    <numFmt numFmtId="188" formatCode="&quot;$&quot;* #,##0.0_);&quot;$&quot;* \(#,##0.0\);&quot;$&quot;* 0.0_);* @_)"/>
    <numFmt numFmtId="189" formatCode="&quot;$&quot;* #,##0.00_);&quot;$&quot;* \(#,##0.00\);&quot;$&quot;* 0.00_);* @_)"/>
    <numFmt numFmtId="190" formatCode="&quot;$&quot;* #,##0.000_);&quot;$&quot;* \(#,##0.000\);&quot;$&quot;* 0.000_);* @_)"/>
    <numFmt numFmtId="191" formatCode="&quot;$&quot;* #,##0.0000_);&quot;$&quot;* \(#,##0.0000\);&quot;$&quot;* 0.0000_);* @_)"/>
    <numFmt numFmtId="192" formatCode="_-&quot;Ј&quot;* #,##0_-;\-&quot;Ј&quot;* #,##0_-;_-&quot;Ј&quot;* &quot;-&quot;_-;_-@_-"/>
    <numFmt numFmtId="193" formatCode="_-&quot;Ј&quot;* #,##0.00_-;\-&quot;Ј&quot;* #,##0.00_-;_-&quot;Ј&quot;* &quot;-&quot;??_-;_-@_-"/>
    <numFmt numFmtId="194" formatCode="_-* #,##0.00[$€-1]_-;\-* #,##0.00[$€-1]_-;_-* &quot;-&quot;??[$€-1]_-"/>
    <numFmt numFmtId="195" formatCode="d\-mmm\-yyyy;[Red]* &quot;Not date&quot;;&quot;-&quot;;[Red]* &quot;Not date&quot;"/>
    <numFmt numFmtId="196" formatCode="d\-mmm\-yyyy\ h:mm\ AM/PM;[Red]* &quot;Not time&quot;;0;[Red]* &quot;Not time&quot;"/>
    <numFmt numFmtId="197" formatCode="#,##0_);[Blue]\(\-\)\ #,##0_)"/>
    <numFmt numFmtId="198" formatCode="%#.00"/>
  </numFmts>
  <fonts count="52" x14ac:knownFonts="1">
    <font>
      <sz val="10"/>
      <name val="Times New Roman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sz val="10"/>
      <name val="Arial Cyr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1"/>
      <color indexed="62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indexed="1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Times New Roman"/>
      <family val="1"/>
      <charset val="204"/>
    </font>
    <font>
      <sz val="10"/>
      <name val="Arial"/>
      <family val="2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2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1">
    <xf numFmtId="0" fontId="0" fillId="0" borderId="0"/>
    <xf numFmtId="166" fontId="1" fillId="0" borderId="1">
      <protection locked="0"/>
    </xf>
    <xf numFmtId="166" fontId="1" fillId="0" borderId="1">
      <protection locked="0"/>
    </xf>
    <xf numFmtId="166" fontId="1" fillId="0" borderId="1">
      <protection locked="0"/>
    </xf>
    <xf numFmtId="4" fontId="1" fillId="0" borderId="0">
      <protection locked="0"/>
    </xf>
    <xf numFmtId="4" fontId="1" fillId="0" borderId="0">
      <protection locked="0"/>
    </xf>
    <xf numFmtId="167" fontId="1" fillId="0" borderId="0">
      <protection locked="0"/>
    </xf>
    <xf numFmtId="167" fontId="1" fillId="0" borderId="0">
      <protection locked="0"/>
    </xf>
    <xf numFmtId="4" fontId="1" fillId="0" borderId="0">
      <protection locked="0"/>
    </xf>
    <xf numFmtId="4" fontId="1" fillId="0" borderId="0">
      <protection locked="0"/>
    </xf>
    <xf numFmtId="167" fontId="1" fillId="0" borderId="0">
      <protection locked="0"/>
    </xf>
    <xf numFmtId="167" fontId="1" fillId="0" borderId="0">
      <protection locked="0"/>
    </xf>
    <xf numFmtId="4" fontId="1" fillId="0" borderId="0">
      <protection locked="0"/>
    </xf>
    <xf numFmtId="167" fontId="1" fillId="0" borderId="0">
      <protection locked="0"/>
    </xf>
    <xf numFmtId="168" fontId="1" fillId="0" borderId="0">
      <protection locked="0"/>
    </xf>
    <xf numFmtId="168" fontId="1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1" fillId="0" borderId="1">
      <protection locked="0"/>
    </xf>
    <xf numFmtId="166" fontId="1" fillId="0" borderId="1">
      <protection locked="0"/>
    </xf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169" fontId="5" fillId="0" borderId="0" applyFill="0" applyBorder="0">
      <alignment vertical="top"/>
    </xf>
    <xf numFmtId="170" fontId="5" fillId="0" borderId="0" applyFill="0" applyBorder="0">
      <alignment vertical="top"/>
    </xf>
    <xf numFmtId="171" fontId="5" fillId="0" borderId="0" applyFill="0" applyBorder="0">
      <alignment vertical="top"/>
    </xf>
    <xf numFmtId="172" fontId="5" fillId="0" borderId="0" applyFill="0" applyBorder="0">
      <alignment vertical="top"/>
    </xf>
    <xf numFmtId="173" fontId="5" fillId="0" borderId="0" applyFill="0" applyBorder="0">
      <alignment vertical="top"/>
    </xf>
    <xf numFmtId="174" fontId="5" fillId="0" borderId="0" applyFill="0" applyBorder="0">
      <alignment vertical="top"/>
    </xf>
    <xf numFmtId="175" fontId="5" fillId="0" borderId="0" applyFill="0" applyBorder="0">
      <alignment vertical="top"/>
    </xf>
    <xf numFmtId="176" fontId="5" fillId="0" borderId="0" applyFill="0" applyBorder="0">
      <alignment vertical="top"/>
    </xf>
    <xf numFmtId="177" fontId="5" fillId="0" borderId="0" applyFill="0" applyBorder="0">
      <alignment vertical="top"/>
    </xf>
    <xf numFmtId="178" fontId="5" fillId="0" borderId="0" applyFill="0" applyBorder="0">
      <alignment vertical="top"/>
    </xf>
    <xf numFmtId="179" fontId="5" fillId="0" borderId="0" applyFill="0" applyBorder="0">
      <alignment vertical="top"/>
    </xf>
    <xf numFmtId="179" fontId="5" fillId="0" borderId="0" applyFill="0" applyBorder="0">
      <alignment horizontal="center" vertical="top"/>
    </xf>
    <xf numFmtId="180" fontId="5" fillId="0" borderId="0" applyFill="0" applyBorder="0">
      <alignment vertical="top"/>
    </xf>
    <xf numFmtId="181" fontId="5" fillId="0" borderId="0" applyFill="0" applyBorder="0">
      <alignment vertical="top"/>
    </xf>
    <xf numFmtId="182" fontId="5" fillId="0" borderId="0" applyFill="0" applyBorder="0">
      <alignment vertical="top"/>
    </xf>
    <xf numFmtId="183" fontId="5" fillId="0" borderId="0" applyFill="0" applyBorder="0">
      <alignment vertical="top"/>
    </xf>
    <xf numFmtId="184" fontId="6" fillId="0" borderId="0" applyFill="0" applyBorder="0">
      <alignment vertical="top"/>
    </xf>
    <xf numFmtId="185" fontId="5" fillId="0" borderId="0" applyFill="0" applyBorder="0">
      <alignment vertical="top"/>
    </xf>
    <xf numFmtId="186" fontId="5" fillId="0" borderId="0" applyFill="0" applyBorder="0">
      <alignment vertical="top"/>
    </xf>
    <xf numFmtId="187" fontId="5" fillId="0" borderId="0" applyFill="0" applyBorder="0">
      <alignment vertical="top"/>
    </xf>
    <xf numFmtId="188" fontId="5" fillId="0" borderId="0" applyFill="0" applyBorder="0">
      <alignment vertical="top"/>
    </xf>
    <xf numFmtId="189" fontId="5" fillId="0" borderId="0" applyFill="0" applyBorder="0">
      <alignment vertical="top"/>
    </xf>
    <xf numFmtId="190" fontId="5" fillId="0" borderId="0" applyFill="0" applyBorder="0">
      <alignment vertical="top"/>
    </xf>
    <xf numFmtId="191" fontId="5" fillId="0" borderId="0" applyFill="0" applyBorder="0">
      <alignment vertical="top"/>
    </xf>
    <xf numFmtId="192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194" fontId="9" fillId="0" borderId="0" applyFont="0" applyFill="0" applyBorder="0" applyAlignment="0" applyProtection="0"/>
    <xf numFmtId="0" fontId="3" fillId="0" borderId="0"/>
    <xf numFmtId="0" fontId="10" fillId="0" borderId="0" applyFill="0" applyBorder="0">
      <alignment vertical="top"/>
    </xf>
    <xf numFmtId="0" fontId="11" fillId="0" borderId="0" applyFill="0" applyBorder="0">
      <alignment vertical="top"/>
    </xf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horizontal="left" vertical="top"/>
      <protection hidden="1"/>
    </xf>
    <xf numFmtId="0" fontId="14" fillId="0" borderId="0" applyFill="0" applyBorder="0">
      <alignment horizontal="left" vertical="top" indent="1"/>
      <protection hidden="1"/>
    </xf>
    <xf numFmtId="0" fontId="14" fillId="0" borderId="0" applyFill="0" applyBorder="0">
      <alignment horizontal="left" vertical="top" indent="2"/>
      <protection hidden="1"/>
    </xf>
    <xf numFmtId="0" fontId="14" fillId="0" borderId="0" applyFill="0" applyBorder="0">
      <alignment horizontal="left" vertical="top" indent="3"/>
      <protection hidden="1"/>
    </xf>
    <xf numFmtId="169" fontId="15" fillId="0" borderId="0" applyFill="0" applyBorder="0">
      <alignment vertical="top"/>
      <protection locked="0"/>
    </xf>
    <xf numFmtId="170" fontId="15" fillId="0" borderId="0" applyFill="0" applyBorder="0">
      <alignment vertical="top"/>
      <protection locked="0"/>
    </xf>
    <xf numFmtId="171" fontId="15" fillId="0" borderId="0" applyFill="0" applyBorder="0">
      <alignment vertical="top"/>
      <protection locked="0"/>
    </xf>
    <xf numFmtId="172" fontId="15" fillId="0" borderId="0" applyFill="0" applyBorder="0">
      <alignment vertical="top"/>
      <protection locked="0"/>
    </xf>
    <xf numFmtId="173" fontId="15" fillId="0" borderId="0" applyFill="0" applyBorder="0">
      <alignment vertical="top"/>
      <protection locked="0"/>
    </xf>
    <xf numFmtId="174" fontId="15" fillId="0" borderId="0" applyFill="0" applyBorder="0">
      <alignment vertical="top"/>
      <protection locked="0"/>
    </xf>
    <xf numFmtId="195" fontId="15" fillId="0" borderId="0" applyFill="0" applyBorder="0">
      <alignment vertical="top"/>
      <protection locked="0"/>
    </xf>
    <xf numFmtId="196" fontId="15" fillId="0" borderId="0" applyFill="0" applyBorder="0">
      <alignment vertical="top"/>
      <protection locked="0"/>
    </xf>
    <xf numFmtId="177" fontId="15" fillId="0" borderId="0" applyFill="0" applyBorder="0">
      <alignment vertical="top"/>
      <protection locked="0"/>
    </xf>
    <xf numFmtId="178" fontId="15" fillId="0" borderId="0" applyFill="0" applyBorder="0">
      <alignment vertical="top"/>
      <protection locked="0"/>
    </xf>
    <xf numFmtId="179" fontId="15" fillId="0" borderId="0" applyFill="0" applyBorder="0">
      <alignment vertical="top"/>
      <protection locked="0"/>
    </xf>
    <xf numFmtId="180" fontId="15" fillId="0" borderId="0" applyFill="0" applyBorder="0">
      <alignment vertical="top"/>
      <protection locked="0"/>
    </xf>
    <xf numFmtId="180" fontId="16" fillId="0" borderId="0" applyFill="0" applyBorder="0">
      <alignment vertical="top"/>
      <protection locked="0"/>
    </xf>
    <xf numFmtId="180" fontId="15" fillId="0" borderId="0" applyFill="0" applyBorder="0">
      <alignment vertical="top"/>
      <protection locked="0"/>
    </xf>
    <xf numFmtId="49" fontId="15" fillId="0" borderId="0" applyFill="0" applyBorder="0">
      <alignment vertical="top"/>
      <protection locked="0"/>
    </xf>
    <xf numFmtId="49" fontId="16" fillId="0" borderId="0" applyFill="0" applyBorder="0">
      <alignment vertical="top"/>
      <protection locked="0"/>
    </xf>
    <xf numFmtId="0" fontId="15" fillId="0" borderId="0" applyFill="0" applyBorder="0">
      <alignment vertical="top" wrapText="1"/>
      <protection locked="0"/>
    </xf>
    <xf numFmtId="181" fontId="15" fillId="0" borderId="0" applyFill="0" applyBorder="0">
      <alignment vertical="top"/>
      <protection locked="0"/>
    </xf>
    <xf numFmtId="182" fontId="15" fillId="0" borderId="0" applyFill="0" applyBorder="0">
      <alignment vertical="top"/>
      <protection locked="0"/>
    </xf>
    <xf numFmtId="183" fontId="15" fillId="0" borderId="0" applyFill="0" applyBorder="0">
      <alignment vertical="top"/>
      <protection locked="0"/>
    </xf>
    <xf numFmtId="184" fontId="15" fillId="0" borderId="0" applyFill="0" applyBorder="0">
      <alignment vertical="top"/>
      <protection locked="0"/>
    </xf>
    <xf numFmtId="185" fontId="15" fillId="0" borderId="0" applyFill="0" applyBorder="0">
      <alignment vertical="top"/>
      <protection locked="0"/>
    </xf>
    <xf numFmtId="186" fontId="15" fillId="0" borderId="0" applyFill="0" applyBorder="0">
      <alignment vertical="top"/>
      <protection locked="0"/>
    </xf>
    <xf numFmtId="187" fontId="15" fillId="0" borderId="0" applyFill="0" applyBorder="0">
      <alignment vertical="top"/>
      <protection locked="0"/>
    </xf>
    <xf numFmtId="188" fontId="15" fillId="0" borderId="0" applyFill="0" applyBorder="0">
      <alignment vertical="top"/>
      <protection locked="0"/>
    </xf>
    <xf numFmtId="189" fontId="15" fillId="0" borderId="0" applyFill="0" applyBorder="0">
      <alignment vertical="top"/>
      <protection locked="0"/>
    </xf>
    <xf numFmtId="190" fontId="15" fillId="0" borderId="0" applyFill="0" applyBorder="0">
      <alignment vertical="top"/>
      <protection locked="0"/>
    </xf>
    <xf numFmtId="191" fontId="15" fillId="0" borderId="0" applyFill="0" applyBorder="0">
      <alignment vertical="top"/>
      <protection locked="0"/>
    </xf>
    <xf numFmtId="49" fontId="15" fillId="0" borderId="0" applyFill="0" applyBorder="0">
      <alignment horizontal="left" vertical="top"/>
      <protection locked="0"/>
    </xf>
    <xf numFmtId="49" fontId="15" fillId="0" borderId="0" applyFill="0" applyBorder="0">
      <alignment horizontal="left" vertical="top" indent="1"/>
      <protection locked="0"/>
    </xf>
    <xf numFmtId="49" fontId="15" fillId="0" borderId="0" applyFill="0" applyBorder="0">
      <alignment horizontal="left" vertical="top" indent="2"/>
      <protection locked="0"/>
    </xf>
    <xf numFmtId="49" fontId="15" fillId="0" borderId="0" applyFill="0" applyBorder="0">
      <alignment horizontal="left" vertical="top" indent="3"/>
      <protection locked="0"/>
    </xf>
    <xf numFmtId="49" fontId="15" fillId="0" borderId="0" applyFill="0" applyBorder="0">
      <alignment horizontal="left" vertical="top" indent="4"/>
      <protection locked="0"/>
    </xf>
    <xf numFmtId="49" fontId="15" fillId="0" borderId="0" applyFill="0" applyBorder="0">
      <alignment horizontal="center"/>
      <protection locked="0"/>
    </xf>
    <xf numFmtId="49" fontId="15" fillId="0" borderId="0" applyFill="0" applyBorder="0">
      <alignment horizontal="center" wrapText="1"/>
      <protection locked="0"/>
    </xf>
    <xf numFmtId="49" fontId="5" fillId="0" borderId="0" applyFill="0" applyBorder="0">
      <alignment vertical="top"/>
    </xf>
    <xf numFmtId="0" fontId="5" fillId="0" borderId="0" applyFill="0" applyBorder="0">
      <alignment vertical="top" wrapText="1"/>
    </xf>
    <xf numFmtId="0" fontId="7" fillId="0" borderId="0"/>
    <xf numFmtId="0" fontId="17" fillId="0" borderId="0" applyNumberFormat="0" applyFont="0" applyBorder="0" applyAlignment="0">
      <alignment horizontal="left"/>
    </xf>
    <xf numFmtId="0" fontId="13" fillId="0" borderId="0" applyFill="0" applyBorder="0">
      <alignment vertical="top"/>
    </xf>
    <xf numFmtId="0" fontId="13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3" fillId="0" borderId="0" applyFill="0" applyBorder="0">
      <alignment horizontal="left" vertical="top" indent="3"/>
    </xf>
    <xf numFmtId="0" fontId="5" fillId="0" borderId="0" applyFill="0" applyBorder="0">
      <alignment vertical="top"/>
    </xf>
    <xf numFmtId="0" fontId="5" fillId="0" borderId="0" applyFill="0" applyBorder="0">
      <alignment horizontal="left" vertical="top" indent="1"/>
    </xf>
    <xf numFmtId="0" fontId="5" fillId="0" borderId="0" applyFill="0" applyBorder="0">
      <alignment horizontal="left" vertical="top" indent="2"/>
    </xf>
    <xf numFmtId="0" fontId="5" fillId="0" borderId="0" applyFill="0" applyBorder="0">
      <alignment horizontal="left" vertical="top" indent="3"/>
    </xf>
    <xf numFmtId="0" fontId="5" fillId="0" borderId="0" applyFill="0" applyBorder="0">
      <alignment horizontal="left" vertical="top" indent="4"/>
    </xf>
    <xf numFmtId="0" fontId="5" fillId="0" borderId="0" applyFill="0" applyBorder="0">
      <alignment horizontal="center"/>
    </xf>
    <xf numFmtId="0" fontId="5" fillId="0" borderId="0" applyFill="0" applyBorder="0">
      <alignment horizontal="center" wrapText="1"/>
    </xf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19" fillId="7" borderId="2" applyNumberFormat="0" applyAlignment="0" applyProtection="0"/>
    <xf numFmtId="197" fontId="20" fillId="0" borderId="3" applyBorder="0">
      <protection hidden="1"/>
    </xf>
    <xf numFmtId="0" fontId="21" fillId="20" borderId="4" applyNumberFormat="0" applyAlignment="0" applyProtection="0"/>
    <xf numFmtId="0" fontId="22" fillId="20" borderId="2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8" applyNumberFormat="0" applyFill="0" applyAlignment="0" applyProtection="0"/>
    <xf numFmtId="0" fontId="7" fillId="0" borderId="0"/>
    <xf numFmtId="0" fontId="28" fillId="21" borderId="9" applyNumberFormat="0" applyAlignment="0" applyProtection="0"/>
    <xf numFmtId="0" fontId="29" fillId="0" borderId="0" applyNumberFormat="0" applyFill="0" applyBorder="0" applyAlignment="0" applyProtection="0"/>
    <xf numFmtId="0" fontId="30" fillId="22" borderId="0" applyNumberFormat="0" applyBorder="0" applyAlignment="0" applyProtection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5" fillId="0" borderId="0" applyFill="0" applyBorder="0"/>
    <xf numFmtId="0" fontId="31" fillId="0" borderId="0"/>
    <xf numFmtId="0" fontId="3" fillId="0" borderId="0"/>
    <xf numFmtId="0" fontId="9" fillId="0" borderId="0"/>
    <xf numFmtId="0" fontId="3" fillId="0" borderId="0"/>
    <xf numFmtId="0" fontId="7" fillId="0" borderId="0"/>
    <xf numFmtId="0" fontId="32" fillId="0" borderId="0"/>
    <xf numFmtId="0" fontId="3" fillId="0" borderId="0"/>
    <xf numFmtId="0" fontId="33" fillId="3" borderId="0" applyNumberFormat="0" applyBorder="0" applyAlignment="0" applyProtection="0"/>
    <xf numFmtId="0" fontId="34" fillId="0" borderId="0" applyNumberFormat="0" applyFill="0" applyBorder="0" applyAlignment="0" applyProtection="0"/>
    <xf numFmtId="0" fontId="3" fillId="23" borderId="10" applyNumberFormat="0" applyFont="0" applyAlignment="0" applyProtection="0"/>
    <xf numFmtId="0" fontId="35" fillId="0" borderId="11" applyNumberFormat="0" applyFill="0" applyAlignment="0" applyProtection="0"/>
    <xf numFmtId="0" fontId="36" fillId="0" borderId="0"/>
    <xf numFmtId="0" fontId="37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2" fillId="0" borderId="0">
      <protection locked="0"/>
    </xf>
    <xf numFmtId="166" fontId="2" fillId="0" borderId="0">
      <protection locked="0"/>
    </xf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8" fillId="4" borderId="0" applyNumberFormat="0" applyBorder="0" applyAlignment="0" applyProtection="0"/>
    <xf numFmtId="198" fontId="1" fillId="0" borderId="0">
      <protection locked="0"/>
    </xf>
    <xf numFmtId="198" fontId="1" fillId="0" borderId="0">
      <protection locked="0"/>
    </xf>
    <xf numFmtId="0" fontId="40" fillId="0" borderId="0">
      <alignment vertical="center"/>
    </xf>
  </cellStyleXfs>
  <cellXfs count="72">
    <xf numFmtId="0" fontId="0" fillId="0" borderId="0" xfId="0"/>
    <xf numFmtId="1" fontId="42" fillId="24" borderId="0" xfId="147" applyNumberFormat="1" applyFont="1" applyFill="1" applyBorder="1" applyAlignment="1">
      <alignment horizontal="center" vertical="top" wrapText="1"/>
    </xf>
    <xf numFmtId="3" fontId="42" fillId="24" borderId="0" xfId="147" applyNumberFormat="1" applyFont="1" applyFill="1" applyBorder="1" applyAlignment="1">
      <alignment horizontal="center" vertical="top" wrapText="1"/>
    </xf>
    <xf numFmtId="3" fontId="44" fillId="24" borderId="12" xfId="147" applyNumberFormat="1" applyFont="1" applyFill="1" applyBorder="1" applyAlignment="1">
      <alignment horizontal="center" vertical="top" wrapText="1"/>
    </xf>
    <xf numFmtId="4" fontId="45" fillId="24" borderId="12" xfId="167" applyNumberFormat="1" applyFont="1" applyFill="1" applyBorder="1" applyAlignment="1">
      <alignment horizontal="right" vertical="top" wrapText="1"/>
    </xf>
    <xf numFmtId="0" fontId="43" fillId="24" borderId="0" xfId="0" applyFont="1" applyFill="1"/>
    <xf numFmtId="4" fontId="42" fillId="24" borderId="0" xfId="167" applyNumberFormat="1" applyFont="1" applyFill="1" applyAlignment="1">
      <alignment horizontal="center" vertical="top" wrapText="1"/>
    </xf>
    <xf numFmtId="0" fontId="43" fillId="24" borderId="0" xfId="0" applyFont="1" applyFill="1" applyAlignment="1">
      <alignment horizontal="center"/>
    </xf>
    <xf numFmtId="0" fontId="43" fillId="24" borderId="0" xfId="0" applyFont="1" applyFill="1" applyAlignment="1">
      <alignment vertical="top"/>
    </xf>
    <xf numFmtId="0" fontId="43" fillId="24" borderId="0" xfId="0" applyFont="1" applyFill="1" applyAlignment="1">
      <alignment horizontal="center" vertical="top"/>
    </xf>
    <xf numFmtId="49" fontId="41" fillId="24" borderId="3" xfId="167" applyNumberFormat="1" applyFont="1" applyFill="1" applyBorder="1" applyAlignment="1">
      <alignment horizontal="center" vertical="top" wrapText="1"/>
    </xf>
    <xf numFmtId="4" fontId="41" fillId="24" borderId="3" xfId="147" applyNumberFormat="1" applyFont="1" applyFill="1" applyBorder="1" applyAlignment="1">
      <alignment horizontal="center" vertical="top" wrapText="1"/>
    </xf>
    <xf numFmtId="0" fontId="49" fillId="24" borderId="0" xfId="0" applyFont="1" applyFill="1"/>
    <xf numFmtId="3" fontId="48" fillId="24" borderId="17" xfId="186" applyNumberFormat="1" applyFont="1" applyFill="1" applyBorder="1" applyAlignment="1">
      <alignment horizontal="center" vertical="top" wrapText="1"/>
    </xf>
    <xf numFmtId="3" fontId="48" fillId="24" borderId="19" xfId="186" applyNumberFormat="1" applyFont="1" applyFill="1" applyBorder="1" applyAlignment="1">
      <alignment horizontal="center" vertical="top" wrapText="1"/>
    </xf>
    <xf numFmtId="4" fontId="41" fillId="24" borderId="0" xfId="167" applyNumberFormat="1" applyFont="1" applyFill="1" applyAlignment="1">
      <alignment horizontal="center" vertical="top" wrapText="1"/>
    </xf>
    <xf numFmtId="4" fontId="43" fillId="24" borderId="0" xfId="0" applyNumberFormat="1" applyFont="1" applyFill="1" applyAlignment="1">
      <alignment horizontal="center" vertical="top"/>
    </xf>
    <xf numFmtId="165" fontId="43" fillId="24" borderId="0" xfId="0" applyNumberFormat="1" applyFont="1" applyFill="1" applyAlignment="1">
      <alignment horizontal="center" vertical="top"/>
    </xf>
    <xf numFmtId="0" fontId="47" fillId="24" borderId="0" xfId="167" applyFont="1" applyFill="1"/>
    <xf numFmtId="1" fontId="42" fillId="24" borderId="0" xfId="147" applyNumberFormat="1" applyFont="1" applyFill="1" applyAlignment="1">
      <alignment horizontal="center" vertical="top" wrapText="1"/>
    </xf>
    <xf numFmtId="3" fontId="42" fillId="24" borderId="0" xfId="147" applyNumberFormat="1" applyFont="1" applyFill="1" applyAlignment="1">
      <alignment horizontal="center" vertical="top" wrapText="1"/>
    </xf>
    <xf numFmtId="0" fontId="42" fillId="24" borderId="0" xfId="167" applyFont="1" applyFill="1" applyAlignment="1">
      <alignment horizontal="center" vertical="top" wrapText="1"/>
    </xf>
    <xf numFmtId="49" fontId="51" fillId="24" borderId="3" xfId="167" applyNumberFormat="1" applyFont="1" applyFill="1" applyBorder="1" applyAlignment="1">
      <alignment horizontal="center" vertical="top" wrapText="1"/>
    </xf>
    <xf numFmtId="4" fontId="48" fillId="24" borderId="3" xfId="147" applyNumberFormat="1" applyFont="1" applyFill="1" applyBorder="1" applyAlignment="1">
      <alignment horizontal="center" vertical="top" wrapText="1"/>
    </xf>
    <xf numFmtId="3" fontId="41" fillId="24" borderId="3" xfId="186" applyNumberFormat="1" applyFont="1" applyFill="1" applyBorder="1" applyAlignment="1">
      <alignment horizontal="center" vertical="top" wrapText="1"/>
    </xf>
    <xf numFmtId="3" fontId="48" fillId="24" borderId="3" xfId="186" applyNumberFormat="1" applyFont="1" applyFill="1" applyBorder="1" applyAlignment="1">
      <alignment horizontal="center" vertical="top" wrapText="1"/>
    </xf>
    <xf numFmtId="1" fontId="48" fillId="24" borderId="13" xfId="186" applyNumberFormat="1" applyFont="1" applyFill="1" applyBorder="1" applyAlignment="1">
      <alignment horizontal="center" vertical="top" wrapText="1"/>
    </xf>
    <xf numFmtId="3" fontId="48" fillId="24" borderId="13" xfId="186" applyNumberFormat="1" applyFont="1" applyFill="1" applyBorder="1" applyAlignment="1">
      <alignment horizontal="center" vertical="top" wrapText="1"/>
    </xf>
    <xf numFmtId="3" fontId="48" fillId="24" borderId="16" xfId="186" applyNumberFormat="1" applyFont="1" applyFill="1" applyBorder="1" applyAlignment="1">
      <alignment horizontal="center" vertical="top" wrapText="1"/>
    </xf>
    <xf numFmtId="41" fontId="51" fillId="24" borderId="3" xfId="0" applyNumberFormat="1" applyFont="1" applyFill="1" applyBorder="1" applyAlignment="1">
      <alignment horizontal="center" vertical="top" wrapText="1"/>
    </xf>
    <xf numFmtId="4" fontId="51" fillId="24" borderId="3" xfId="147" applyNumberFormat="1" applyFont="1" applyFill="1" applyBorder="1" applyAlignment="1">
      <alignment horizontal="center" vertical="top" wrapText="1"/>
    </xf>
    <xf numFmtId="3" fontId="51" fillId="24" borderId="3" xfId="147" applyNumberFormat="1" applyFont="1" applyFill="1" applyBorder="1" applyAlignment="1">
      <alignment horizontal="center" vertical="top" wrapText="1"/>
    </xf>
    <xf numFmtId="1" fontId="41" fillId="24" borderId="3" xfId="186" applyNumberFormat="1" applyFont="1" applyFill="1" applyBorder="1" applyAlignment="1">
      <alignment horizontal="center" vertical="top" wrapText="1"/>
    </xf>
    <xf numFmtId="0" fontId="20" fillId="24" borderId="0" xfId="0" applyFont="1" applyFill="1" applyAlignment="1">
      <alignment horizontal="center" vertical="top"/>
    </xf>
    <xf numFmtId="3" fontId="20" fillId="24" borderId="0" xfId="0" applyNumberFormat="1" applyFont="1" applyFill="1"/>
    <xf numFmtId="16" fontId="20" fillId="24" borderId="0" xfId="0" applyNumberFormat="1" applyFont="1" applyFill="1" applyAlignment="1">
      <alignment horizontal="center" vertical="top"/>
    </xf>
    <xf numFmtId="1" fontId="48" fillId="24" borderId="3" xfId="186" applyNumberFormat="1" applyFont="1" applyFill="1" applyBorder="1" applyAlignment="1">
      <alignment horizontal="left" vertical="top" wrapText="1"/>
    </xf>
    <xf numFmtId="49" fontId="41" fillId="24" borderId="16" xfId="167" applyNumberFormat="1" applyFont="1" applyFill="1" applyBorder="1" applyAlignment="1">
      <alignment horizontal="center" vertical="top" wrapText="1"/>
    </xf>
    <xf numFmtId="41" fontId="51" fillId="24" borderId="16" xfId="0" applyNumberFormat="1" applyFont="1" applyFill="1" applyBorder="1" applyAlignment="1">
      <alignment horizontal="center" vertical="top" wrapText="1"/>
    </xf>
    <xf numFmtId="3" fontId="51" fillId="24" borderId="16" xfId="147" applyNumberFormat="1" applyFont="1" applyFill="1" applyBorder="1" applyAlignment="1">
      <alignment horizontal="center" vertical="top" wrapText="1"/>
    </xf>
    <xf numFmtId="4" fontId="51" fillId="24" borderId="16" xfId="147" applyNumberFormat="1" applyFont="1" applyFill="1" applyBorder="1" applyAlignment="1">
      <alignment horizontal="center" vertical="top" wrapText="1"/>
    </xf>
    <xf numFmtId="14" fontId="49" fillId="24" borderId="0" xfId="0" applyNumberFormat="1" applyFont="1" applyFill="1"/>
    <xf numFmtId="4" fontId="48" fillId="24" borderId="16" xfId="147" applyNumberFormat="1" applyFont="1" applyFill="1" applyBorder="1" applyAlignment="1">
      <alignment horizontal="center" vertical="top" wrapText="1"/>
    </xf>
    <xf numFmtId="1" fontId="48" fillId="24" borderId="16" xfId="186" applyNumberFormat="1" applyFont="1" applyFill="1" applyBorder="1" applyAlignment="1">
      <alignment horizontal="left" vertical="top" wrapText="1"/>
    </xf>
    <xf numFmtId="0" fontId="20" fillId="25" borderId="0" xfId="0" applyFont="1" applyFill="1"/>
    <xf numFmtId="1" fontId="41" fillId="24" borderId="16" xfId="186" applyNumberFormat="1" applyFont="1" applyFill="1" applyBorder="1" applyAlignment="1">
      <alignment horizontal="center" vertical="top" wrapText="1"/>
    </xf>
    <xf numFmtId="1" fontId="41" fillId="24" borderId="13" xfId="186" applyNumberFormat="1" applyFont="1" applyFill="1" applyBorder="1" applyAlignment="1">
      <alignment horizontal="center" vertical="top" wrapText="1"/>
    </xf>
    <xf numFmtId="49" fontId="41" fillId="24" borderId="13" xfId="167" applyNumberFormat="1" applyFont="1" applyFill="1" applyBorder="1" applyAlignment="1">
      <alignment horizontal="center" vertical="top" wrapText="1"/>
    </xf>
    <xf numFmtId="41" fontId="51" fillId="24" borderId="13" xfId="0" applyNumberFormat="1" applyFont="1" applyFill="1" applyBorder="1" applyAlignment="1">
      <alignment horizontal="center" vertical="top" wrapText="1"/>
    </xf>
    <xf numFmtId="3" fontId="51" fillId="24" borderId="13" xfId="147" applyNumberFormat="1" applyFont="1" applyFill="1" applyBorder="1" applyAlignment="1">
      <alignment horizontal="center" vertical="top" wrapText="1"/>
    </xf>
    <xf numFmtId="4" fontId="51" fillId="24" borderId="13" xfId="147" applyNumberFormat="1" applyFont="1" applyFill="1" applyBorder="1" applyAlignment="1">
      <alignment horizontal="center" vertical="top" wrapText="1"/>
    </xf>
    <xf numFmtId="3" fontId="46" fillId="24" borderId="0" xfId="147" applyNumberFormat="1" applyFont="1" applyFill="1" applyBorder="1" applyAlignment="1">
      <alignment horizontal="center" vertical="top" wrapText="1"/>
    </xf>
    <xf numFmtId="1" fontId="48" fillId="24" borderId="18" xfId="186" applyNumberFormat="1" applyFont="1" applyFill="1" applyBorder="1" applyAlignment="1">
      <alignment horizontal="left" vertical="top" wrapText="1"/>
    </xf>
    <xf numFmtId="1" fontId="48" fillId="24" borderId="15" xfId="186" applyNumberFormat="1" applyFont="1" applyFill="1" applyBorder="1" applyAlignment="1">
      <alignment horizontal="left" vertical="top" wrapText="1"/>
    </xf>
    <xf numFmtId="1" fontId="48" fillId="24" borderId="14" xfId="186" applyNumberFormat="1" applyFont="1" applyFill="1" applyBorder="1" applyAlignment="1">
      <alignment horizontal="left" vertical="top" wrapText="1"/>
    </xf>
    <xf numFmtId="1" fontId="50" fillId="24" borderId="15" xfId="186" applyNumberFormat="1" applyFont="1" applyFill="1" applyBorder="1" applyAlignment="1">
      <alignment horizontal="left" vertical="top" wrapText="1"/>
    </xf>
    <xf numFmtId="1" fontId="50" fillId="24" borderId="14" xfId="186" applyNumberFormat="1" applyFont="1" applyFill="1" applyBorder="1" applyAlignment="1">
      <alignment horizontal="left" vertical="top" wrapText="1"/>
    </xf>
    <xf numFmtId="1" fontId="48" fillId="24" borderId="17" xfId="186" applyNumberFormat="1" applyFont="1" applyFill="1" applyBorder="1" applyAlignment="1">
      <alignment horizontal="left" vertical="center" wrapText="1"/>
    </xf>
    <xf numFmtId="1" fontId="48" fillId="24" borderId="12" xfId="186" applyNumberFormat="1" applyFont="1" applyFill="1" applyBorder="1" applyAlignment="1">
      <alignment horizontal="left" vertical="center" wrapText="1"/>
    </xf>
    <xf numFmtId="1" fontId="48" fillId="24" borderId="20" xfId="186" applyNumberFormat="1" applyFont="1" applyFill="1" applyBorder="1" applyAlignment="1">
      <alignment horizontal="left" vertical="center" wrapText="1"/>
    </xf>
    <xf numFmtId="1" fontId="48" fillId="24" borderId="18" xfId="186" applyNumberFormat="1" applyFont="1" applyFill="1" applyBorder="1" applyAlignment="1">
      <alignment horizontal="left" vertical="center" wrapText="1"/>
    </xf>
    <xf numFmtId="1" fontId="50" fillId="24" borderId="15" xfId="186" applyNumberFormat="1" applyFont="1" applyFill="1" applyBorder="1" applyAlignment="1">
      <alignment horizontal="left" vertical="center" wrapText="1"/>
    </xf>
    <xf numFmtId="1" fontId="50" fillId="24" borderId="14" xfId="186" applyNumberFormat="1" applyFont="1" applyFill="1" applyBorder="1" applyAlignment="1">
      <alignment horizontal="left" vertical="center" wrapText="1"/>
    </xf>
    <xf numFmtId="1" fontId="48" fillId="24" borderId="15" xfId="186" applyNumberFormat="1" applyFont="1" applyFill="1" applyBorder="1" applyAlignment="1">
      <alignment horizontal="left" vertical="center" wrapText="1"/>
    </xf>
    <xf numFmtId="1" fontId="48" fillId="24" borderId="14" xfId="186" applyNumberFormat="1" applyFont="1" applyFill="1" applyBorder="1" applyAlignment="1">
      <alignment horizontal="left" vertical="center" wrapText="1"/>
    </xf>
    <xf numFmtId="49" fontId="42" fillId="24" borderId="0" xfId="167" applyNumberFormat="1" applyFont="1" applyFill="1" applyBorder="1" applyAlignment="1">
      <alignment horizontal="center" vertical="top" wrapText="1"/>
    </xf>
    <xf numFmtId="3" fontId="48" fillId="24" borderId="3" xfId="186" applyNumberFormat="1" applyFont="1" applyFill="1" applyBorder="1" applyAlignment="1">
      <alignment horizontal="center" vertical="top" wrapText="1"/>
    </xf>
    <xf numFmtId="3" fontId="48" fillId="24" borderId="0" xfId="147" applyNumberFormat="1" applyFont="1" applyFill="1" applyBorder="1" applyAlignment="1">
      <alignment horizontal="center" vertical="top" wrapText="1"/>
    </xf>
    <xf numFmtId="1" fontId="48" fillId="24" borderId="3" xfId="186" applyNumberFormat="1" applyFont="1" applyFill="1" applyBorder="1" applyAlignment="1">
      <alignment horizontal="center" vertical="top" wrapText="1"/>
    </xf>
    <xf numFmtId="1" fontId="48" fillId="24" borderId="13" xfId="186" applyNumberFormat="1" applyFont="1" applyFill="1" applyBorder="1" applyAlignment="1">
      <alignment horizontal="center" vertical="top" wrapText="1"/>
    </xf>
    <xf numFmtId="3" fontId="48" fillId="24" borderId="13" xfId="186" applyNumberFormat="1" applyFont="1" applyFill="1" applyBorder="1" applyAlignment="1">
      <alignment horizontal="center" vertical="top" wrapText="1"/>
    </xf>
    <xf numFmtId="3" fontId="48" fillId="24" borderId="16" xfId="186" applyNumberFormat="1" applyFont="1" applyFill="1" applyBorder="1" applyAlignment="1">
      <alignment horizontal="center" vertical="top" wrapText="1"/>
    </xf>
  </cellXfs>
  <cellStyles count="191">
    <cellStyle name="?’һғһ‚›ү" xfId="1"/>
    <cellStyle name="?’ћѓћ‚›‰" xfId="2"/>
    <cellStyle name="”?ќђќ‘ћ‚›‰" xfId="5"/>
    <cellStyle name="”?қђқ‘һ‚›ү" xfId="4"/>
    <cellStyle name="”?љ‘?ђһ‚ђққ›ү" xfId="6"/>
    <cellStyle name="”?љ‘?ђћ‚ђќќ›‰" xfId="7"/>
    <cellStyle name="”€ќђќ‘ћ‚›‰" xfId="9"/>
    <cellStyle name="”€қђқ‘һ‚›ү" xfId="8"/>
    <cellStyle name="”€љ‘€ђһ‚ђққ›ү" xfId="10"/>
    <cellStyle name="”€љ‘€ђћ‚ђќќ›‰" xfId="11"/>
    <cellStyle name="”ќђќ‘ћ‚›‰" xfId="12"/>
    <cellStyle name="”љ‘ђћ‚ђќќ›‰" xfId="13"/>
    <cellStyle name="„…ќ…†ќ›‰" xfId="14"/>
    <cellStyle name="„…қ…†қ›ү" xfId="15"/>
    <cellStyle name="€’һғһ‚›ү" xfId="18"/>
    <cellStyle name="€’ћѓћ‚›‰" xfId="19"/>
    <cellStyle name="‡ђѓћ‹ћ‚ћљ1" xfId="16"/>
    <cellStyle name="‡ђѓћ‹ћ‚ћљ2" xfId="17"/>
    <cellStyle name="’ћѓћ‚›‰" xfId="3"/>
    <cellStyle name="20% — акцент1" xfId="20" builtinId="30" customBuiltin="1"/>
    <cellStyle name="20% — акцент2" xfId="21" builtinId="34" customBuiltin="1"/>
    <cellStyle name="20% — акцент3" xfId="22" builtinId="38" customBuiltin="1"/>
    <cellStyle name="20% — акцент4" xfId="23" builtinId="42" customBuiltin="1"/>
    <cellStyle name="20% — акцент5" xfId="24" builtinId="46" customBuiltin="1"/>
    <cellStyle name="20% — акцент6" xfId="25" builtinId="50" customBuiltin="1"/>
    <cellStyle name="40% — акцент1" xfId="26" builtinId="31" customBuiltin="1"/>
    <cellStyle name="40% — акцент2" xfId="27" builtinId="35" customBuiltin="1"/>
    <cellStyle name="40% — акцент3" xfId="28" builtinId="39" customBuiltin="1"/>
    <cellStyle name="40% — акцент4" xfId="29" builtinId="43" customBuiltin="1"/>
    <cellStyle name="40% — акцент5" xfId="30" builtinId="47" customBuiltin="1"/>
    <cellStyle name="40% — акцент6" xfId="31" builtinId="51" customBuiltin="1"/>
    <cellStyle name="60% — акцент1" xfId="32" builtinId="32" customBuiltin="1"/>
    <cellStyle name="60% — акцент2" xfId="33" builtinId="36" customBuiltin="1"/>
    <cellStyle name="60% — акцент3" xfId="34" builtinId="40" customBuiltin="1"/>
    <cellStyle name="60% — акцент4" xfId="35" builtinId="44" customBuiltin="1"/>
    <cellStyle name="60% — акцент5" xfId="36" builtinId="48" customBuiltin="1"/>
    <cellStyle name="60% — акцент6" xfId="37" builtinId="52" customBuiltin="1"/>
    <cellStyle name="cc0 -CalComma" xfId="38"/>
    <cellStyle name="cc1 -CalComma" xfId="39"/>
    <cellStyle name="cc2 -CalComma" xfId="40"/>
    <cellStyle name="cc3 -CalComma" xfId="41"/>
    <cellStyle name="cc4 -CalComma" xfId="42"/>
    <cellStyle name="cdDMM -CalDate" xfId="43"/>
    <cellStyle name="cdDMMY -CalDate" xfId="44"/>
    <cellStyle name="cdDMMYHM -CalDateTime" xfId="45"/>
    <cellStyle name="cdDMY -CalDate" xfId="46"/>
    <cellStyle name="cdMDY -CalDate" xfId="47"/>
    <cellStyle name="cdMMY -CalDate" xfId="48"/>
    <cellStyle name="cdMMYc-CalDateC" xfId="49"/>
    <cellStyle name="cf0 -CalFixed" xfId="50"/>
    <cellStyle name="cmHM  -CalTime" xfId="51"/>
    <cellStyle name="cmHM24+ -CalTime" xfId="52"/>
    <cellStyle name="cp0 -CalPercent" xfId="53"/>
    <cellStyle name="cp1 -CalPercent" xfId="54"/>
    <cellStyle name="cp2 -CalPercent" xfId="55"/>
    <cellStyle name="cp3 -CalPercent" xfId="56"/>
    <cellStyle name="cr0 -CalCurr" xfId="57"/>
    <cellStyle name="cr1 -CalCurr" xfId="58"/>
    <cellStyle name="cr2 -CalCurr" xfId="59"/>
    <cellStyle name="cr3 -CalCurr" xfId="60"/>
    <cellStyle name="cr4 -CalCurr" xfId="61"/>
    <cellStyle name="Currency [0]_basle_98_97_96 1" xfId="62"/>
    <cellStyle name="Currency_basle_98_97_96 1" xfId="63"/>
    <cellStyle name="E&amp;Y House" xfId="64"/>
    <cellStyle name="Euro" xfId="65"/>
    <cellStyle name="Excel Built-in Normal" xfId="66"/>
    <cellStyle name="h0 -Heading" xfId="67"/>
    <cellStyle name="h1 -Heading" xfId="68"/>
    <cellStyle name="h2 -Heading" xfId="69"/>
    <cellStyle name="h3 -Heading" xfId="70"/>
    <cellStyle name="hp0 -Hyperlink" xfId="71"/>
    <cellStyle name="hp1 -Hyperlink" xfId="72"/>
    <cellStyle name="hp2 -Hyperlink" xfId="73"/>
    <cellStyle name="hp3 -Hyperlink" xfId="74"/>
    <cellStyle name="ic0 -InpComma" xfId="75"/>
    <cellStyle name="ic1 -InpComma" xfId="76"/>
    <cellStyle name="ic2 -InpComma" xfId="77"/>
    <cellStyle name="ic3 -InpComma" xfId="78"/>
    <cellStyle name="ic4 -InpComma" xfId="79"/>
    <cellStyle name="idDMM -InpDate" xfId="80"/>
    <cellStyle name="idDMMY -InpDate" xfId="81"/>
    <cellStyle name="idDMMYHM -InpDateTime" xfId="82"/>
    <cellStyle name="idDMY -InpDate" xfId="83"/>
    <cellStyle name="idMDY -InpDate" xfId="84"/>
    <cellStyle name="idMMY -InpDate" xfId="85"/>
    <cellStyle name="if0 -InpFixed" xfId="86"/>
    <cellStyle name="if0b-InpFixedB" xfId="87"/>
    <cellStyle name="if0-InpFixed" xfId="88"/>
    <cellStyle name="iln -InpTableTextNoWrap" xfId="89"/>
    <cellStyle name="ilnb-InpTableTextNoWrapB" xfId="90"/>
    <cellStyle name="ilw -InpTableTextWrap" xfId="91"/>
    <cellStyle name="imHM  -InpTime" xfId="92"/>
    <cellStyle name="imHM24+ -InpTime" xfId="93"/>
    <cellStyle name="ip0 -InpPercent" xfId="94"/>
    <cellStyle name="ip1 -InpPercent" xfId="95"/>
    <cellStyle name="ip2 -InpPercent" xfId="96"/>
    <cellStyle name="ip3 -InpPercent" xfId="97"/>
    <cellStyle name="ir0 -InpCurr" xfId="98"/>
    <cellStyle name="ir1 -InpCurr" xfId="99"/>
    <cellStyle name="ir2 -InpCurr" xfId="100"/>
    <cellStyle name="ir3 -InpCurr" xfId="101"/>
    <cellStyle name="ir4 -InpCurr" xfId="102"/>
    <cellStyle name="is0 -InpSideText" xfId="103"/>
    <cellStyle name="is1 -InpSideText" xfId="104"/>
    <cellStyle name="is2 -InpSideText" xfId="105"/>
    <cellStyle name="is3 -InpSideText" xfId="106"/>
    <cellStyle name="is4 -InpSideText" xfId="107"/>
    <cellStyle name="itn -InpTopTextNoWrap" xfId="108"/>
    <cellStyle name="itw -InpTopTextWrap" xfId="109"/>
    <cellStyle name="ltn -TableTextNoWrap" xfId="110"/>
    <cellStyle name="ltw -TableTextWrap" xfId="111"/>
    <cellStyle name="Normal_070917_2008_Экспорт_МЭБП3" xfId="112"/>
    <cellStyle name="Report" xfId="113"/>
    <cellStyle name="sh0 -SideHeading" xfId="114"/>
    <cellStyle name="sh1 -SideHeading" xfId="115"/>
    <cellStyle name="sh2 -SideHeading" xfId="116"/>
    <cellStyle name="sh3 -SideHeading" xfId="117"/>
    <cellStyle name="st0 -SideText" xfId="118"/>
    <cellStyle name="st1 -SideText" xfId="119"/>
    <cellStyle name="st2 -SideText" xfId="120"/>
    <cellStyle name="st3 -SideText" xfId="121"/>
    <cellStyle name="st4 -SideText" xfId="122"/>
    <cellStyle name="ttn -TopTextNoWrap" xfId="123"/>
    <cellStyle name="ttw -TopTextWrap" xfId="124"/>
    <cellStyle name="Акцент1" xfId="125" builtinId="29" customBuiltin="1"/>
    <cellStyle name="Акцент2" xfId="126" builtinId="33" customBuiltin="1"/>
    <cellStyle name="Акцент3" xfId="127" builtinId="37" customBuiltin="1"/>
    <cellStyle name="Акцент4" xfId="128" builtinId="41" customBuiltin="1"/>
    <cellStyle name="Акцент5" xfId="129" builtinId="45" customBuiltin="1"/>
    <cellStyle name="Акцент6" xfId="130" builtinId="49" customBuiltin="1"/>
    <cellStyle name="Ввод " xfId="131" builtinId="20" customBuiltin="1"/>
    <cellStyle name="Виталий" xfId="132"/>
    <cellStyle name="Вывод" xfId="133" builtinId="21" customBuiltin="1"/>
    <cellStyle name="Вычисление" xfId="134" builtinId="22" customBuiltin="1"/>
    <cellStyle name="Гиперссылка 2" xfId="135"/>
    <cellStyle name="Заголовок 1" xfId="136" builtinId="16" customBuiltin="1"/>
    <cellStyle name="Заголовок 2" xfId="137" builtinId="17" customBuiltin="1"/>
    <cellStyle name="Заголовок 3" xfId="138" builtinId="18" customBuiltin="1"/>
    <cellStyle name="Заголовок 4" xfId="139" builtinId="19" customBuiltin="1"/>
    <cellStyle name="Итог" xfId="140" builtinId="25" customBuiltin="1"/>
    <cellStyle name="КАНДАГАЧ тел3-33-96" xfId="141"/>
    <cellStyle name="Контрольная ячейка" xfId="142" builtinId="23" customBuiltin="1"/>
    <cellStyle name="Название" xfId="143" builtinId="15" customBuiltin="1"/>
    <cellStyle name="Нейтральный" xfId="144" builtinId="28" customBuiltin="1"/>
    <cellStyle name="Обычный" xfId="0" builtinId="0"/>
    <cellStyle name="Обычный 10" xfId="145"/>
    <cellStyle name="Обычный 11" xfId="146"/>
    <cellStyle name="Обычный 12" xfId="147"/>
    <cellStyle name="Обычный 12 2" xfId="190"/>
    <cellStyle name="Обычный 2" xfId="148"/>
    <cellStyle name="Обычный 2 2" xfId="149"/>
    <cellStyle name="Обычный 3" xfId="150"/>
    <cellStyle name="Обычный 3 2" xfId="151"/>
    <cellStyle name="Обычный 3 3" xfId="152"/>
    <cellStyle name="Обычный 3 4" xfId="153"/>
    <cellStyle name="Обычный 3 5" xfId="154"/>
    <cellStyle name="Обычный 3 6" xfId="155"/>
    <cellStyle name="Обычный 3 7" xfId="156"/>
    <cellStyle name="Обычный 3 8" xfId="157"/>
    <cellStyle name="Обычный 3 8 2" xfId="158"/>
    <cellStyle name="Обычный 4" xfId="159"/>
    <cellStyle name="Обычный 5" xfId="160"/>
    <cellStyle name="Обычный 5 2" xfId="161"/>
    <cellStyle name="Обычный 5 3" xfId="162"/>
    <cellStyle name="Обычный 6" xfId="163"/>
    <cellStyle name="Обычный 7" xfId="164"/>
    <cellStyle name="Обычный 8" xfId="165"/>
    <cellStyle name="Обычный 9" xfId="166"/>
    <cellStyle name="Обычный_Лист1" xfId="167"/>
    <cellStyle name="Плохой" xfId="168" builtinId="27" customBuiltin="1"/>
    <cellStyle name="Пояснение" xfId="169" builtinId="53" customBuiltin="1"/>
    <cellStyle name="Примечание" xfId="170" builtinId="10" customBuiltin="1"/>
    <cellStyle name="Связанная ячейка" xfId="171" builtinId="24" customBuiltin="1"/>
    <cellStyle name="Стиль 1" xfId="172"/>
    <cellStyle name="Текст предупреждения" xfId="173" builtinId="11" customBuiltin="1"/>
    <cellStyle name="Тысячи [0]_96111" xfId="174"/>
    <cellStyle name="Тысячи_96111" xfId="175"/>
    <cellStyle name="Үђғһ‹һ‚һљ1" xfId="176"/>
    <cellStyle name="Үђғһ‹һ‚һљ2" xfId="177"/>
    <cellStyle name="Финансовый 2" xfId="178"/>
    <cellStyle name="Финансовый 2 2" xfId="179"/>
    <cellStyle name="Финансовый 3" xfId="180"/>
    <cellStyle name="Финансовый 4" xfId="181"/>
    <cellStyle name="Финансовый 4 2" xfId="182"/>
    <cellStyle name="Финансовый 4 3" xfId="183"/>
    <cellStyle name="Финансовый 5" xfId="184"/>
    <cellStyle name="Финансовый 6" xfId="185"/>
    <cellStyle name="Финансовый 7" xfId="186"/>
    <cellStyle name="Хороший" xfId="187" builtinId="26" customBuiltin="1"/>
    <cellStyle name="Џђһ–…қ’қ›ү" xfId="188"/>
    <cellStyle name="Џђћ–…ќ’ќ›‰" xfId="1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7"/>
  <sheetViews>
    <sheetView tabSelected="1" view="pageBreakPreview" zoomScale="85" zoomScaleNormal="85" zoomScaleSheetLayoutView="85" workbookViewId="0">
      <pane xSplit="3" ySplit="7" topLeftCell="D107" activePane="bottomRight" state="frozen"/>
      <selection pane="topRight" activeCell="D1" sqref="D1"/>
      <selection pane="bottomLeft" activeCell="A8" sqref="A8"/>
      <selection pane="bottomRight" activeCell="H199" sqref="H199"/>
    </sheetView>
  </sheetViews>
  <sheetFormatPr defaultRowHeight="18" customHeight="1" x14ac:dyDescent="0.2"/>
  <cols>
    <col min="1" max="1" width="7.6640625" style="5" customWidth="1"/>
    <col min="2" max="2" width="44.5" style="7" customWidth="1"/>
    <col min="3" max="3" width="21.83203125" style="7" customWidth="1"/>
    <col min="4" max="4" width="54.83203125" style="7" customWidth="1"/>
    <col min="5" max="5" width="15.5" style="7" customWidth="1"/>
    <col min="6" max="6" width="16.5" style="8" customWidth="1"/>
    <col min="7" max="7" width="19" style="9" customWidth="1"/>
    <col min="8" max="8" width="27.33203125" style="5" customWidth="1"/>
    <col min="9" max="9" width="24" style="9" customWidth="1"/>
    <col min="10" max="10" width="12" style="5" bestFit="1" customWidth="1"/>
    <col min="11" max="11" width="13.5" style="5" bestFit="1" customWidth="1"/>
    <col min="12" max="12" width="12.5" style="5" customWidth="1"/>
    <col min="13" max="16384" width="9.33203125" style="5"/>
  </cols>
  <sheetData>
    <row r="1" spans="1:10" ht="4.5" customHeight="1" x14ac:dyDescent="0.2">
      <c r="A1" s="1"/>
      <c r="B1" s="2"/>
      <c r="C1" s="2"/>
      <c r="D1" s="2"/>
      <c r="E1" s="2"/>
      <c r="F1" s="2"/>
      <c r="G1" s="65"/>
      <c r="H1" s="65"/>
      <c r="I1" s="65"/>
    </row>
    <row r="2" spans="1:10" ht="9" customHeight="1" x14ac:dyDescent="0.2">
      <c r="A2" s="1"/>
      <c r="B2" s="2"/>
      <c r="C2" s="2"/>
      <c r="D2" s="2"/>
      <c r="E2" s="2"/>
      <c r="F2" s="2"/>
      <c r="G2" s="2"/>
      <c r="H2" s="2"/>
      <c r="I2" s="6"/>
    </row>
    <row r="3" spans="1:10" s="12" customFormat="1" ht="18" customHeight="1" x14ac:dyDescent="0.2">
      <c r="A3" s="67" t="s">
        <v>382</v>
      </c>
      <c r="B3" s="67"/>
      <c r="C3" s="67"/>
      <c r="D3" s="67"/>
      <c r="E3" s="67"/>
      <c r="F3" s="67"/>
      <c r="G3" s="67"/>
      <c r="H3" s="67"/>
      <c r="I3" s="15"/>
    </row>
    <row r="4" spans="1:10" s="12" customFormat="1" ht="18" customHeight="1" x14ac:dyDescent="0.2">
      <c r="A4" s="67" t="s">
        <v>44</v>
      </c>
      <c r="B4" s="67"/>
      <c r="C4" s="67"/>
      <c r="D4" s="67"/>
      <c r="E4" s="67"/>
      <c r="F4" s="67"/>
      <c r="G4" s="67"/>
      <c r="H4" s="67"/>
      <c r="I4" s="15"/>
    </row>
    <row r="5" spans="1:10" ht="3.75" customHeight="1" x14ac:dyDescent="0.2">
      <c r="A5" s="1"/>
      <c r="B5" s="2"/>
      <c r="C5" s="2"/>
      <c r="D5" s="3"/>
      <c r="E5" s="3"/>
      <c r="F5" s="3"/>
      <c r="G5" s="3"/>
      <c r="H5" s="3"/>
      <c r="I5" s="4"/>
    </row>
    <row r="6" spans="1:10" s="12" customFormat="1" ht="18" customHeight="1" x14ac:dyDescent="0.2">
      <c r="A6" s="68" t="s">
        <v>2</v>
      </c>
      <c r="B6" s="70" t="s">
        <v>7</v>
      </c>
      <c r="C6" s="66" t="s">
        <v>11</v>
      </c>
      <c r="D6" s="66" t="s">
        <v>8</v>
      </c>
      <c r="E6" s="66" t="s">
        <v>12</v>
      </c>
      <c r="F6" s="66" t="s">
        <v>10</v>
      </c>
      <c r="G6" s="70" t="s">
        <v>29</v>
      </c>
      <c r="H6" s="66" t="s">
        <v>0</v>
      </c>
      <c r="I6" s="66" t="s">
        <v>9</v>
      </c>
    </row>
    <row r="7" spans="1:10" s="12" customFormat="1" ht="42.75" customHeight="1" x14ac:dyDescent="0.2">
      <c r="A7" s="69"/>
      <c r="B7" s="71"/>
      <c r="C7" s="70"/>
      <c r="D7" s="70"/>
      <c r="E7" s="70"/>
      <c r="F7" s="70"/>
      <c r="G7" s="71"/>
      <c r="H7" s="66"/>
      <c r="I7" s="66"/>
    </row>
    <row r="8" spans="1:10" s="12" customFormat="1" ht="19.5" customHeight="1" x14ac:dyDescent="0.2">
      <c r="A8" s="26">
        <v>1</v>
      </c>
      <c r="B8" s="13">
        <v>2</v>
      </c>
      <c r="C8" s="27">
        <v>3</v>
      </c>
      <c r="D8" s="14">
        <v>4</v>
      </c>
      <c r="E8" s="27">
        <v>5</v>
      </c>
      <c r="F8" s="27">
        <v>6</v>
      </c>
      <c r="G8" s="28">
        <v>7</v>
      </c>
      <c r="H8" s="25">
        <v>8</v>
      </c>
      <c r="I8" s="25">
        <v>10</v>
      </c>
    </row>
    <row r="9" spans="1:10" s="12" customFormat="1" ht="19.5" customHeight="1" x14ac:dyDescent="0.2">
      <c r="A9" s="52" t="s">
        <v>15</v>
      </c>
      <c r="B9" s="53"/>
      <c r="C9" s="53"/>
      <c r="D9" s="53"/>
      <c r="E9" s="53"/>
      <c r="F9" s="53"/>
      <c r="G9" s="53"/>
      <c r="H9" s="53"/>
      <c r="I9" s="54"/>
    </row>
    <row r="10" spans="1:10" s="12" customFormat="1" ht="19.5" customHeight="1" x14ac:dyDescent="0.2">
      <c r="A10" s="52" t="s">
        <v>13</v>
      </c>
      <c r="B10" s="55"/>
      <c r="C10" s="55"/>
      <c r="D10" s="55"/>
      <c r="E10" s="55"/>
      <c r="F10" s="55"/>
      <c r="G10" s="55"/>
      <c r="H10" s="55"/>
      <c r="I10" s="56"/>
    </row>
    <row r="11" spans="1:10" s="12" customFormat="1" ht="47.25" customHeight="1" x14ac:dyDescent="0.2">
      <c r="A11" s="32">
        <v>1</v>
      </c>
      <c r="B11" s="10" t="s">
        <v>58</v>
      </c>
      <c r="C11" s="10" t="s">
        <v>1</v>
      </c>
      <c r="D11" s="10" t="s">
        <v>102</v>
      </c>
      <c r="E11" s="29" t="s">
        <v>17</v>
      </c>
      <c r="F11" s="31">
        <v>1</v>
      </c>
      <c r="G11" s="30">
        <f>73485</f>
        <v>73485</v>
      </c>
      <c r="H11" s="30">
        <f t="shared" ref="H11:H55" si="0">F11*G11</f>
        <v>73485</v>
      </c>
      <c r="I11" s="31" t="s">
        <v>44</v>
      </c>
      <c r="J11" s="41" t="s">
        <v>367</v>
      </c>
    </row>
    <row r="12" spans="1:10" s="12" customFormat="1" ht="42.75" customHeight="1" x14ac:dyDescent="0.2">
      <c r="A12" s="32">
        <v>2</v>
      </c>
      <c r="B12" s="10" t="s">
        <v>59</v>
      </c>
      <c r="C12" s="10" t="s">
        <v>1</v>
      </c>
      <c r="D12" s="10" t="s">
        <v>103</v>
      </c>
      <c r="E12" s="29" t="s">
        <v>17</v>
      </c>
      <c r="F12" s="31">
        <v>66</v>
      </c>
      <c r="G12" s="30">
        <f>83*1.06</f>
        <v>87.98</v>
      </c>
      <c r="H12" s="30">
        <f>F12*G12</f>
        <v>5806.68</v>
      </c>
      <c r="I12" s="31" t="s">
        <v>44</v>
      </c>
      <c r="J12" s="41" t="s">
        <v>367</v>
      </c>
    </row>
    <row r="13" spans="1:10" s="12" customFormat="1" ht="44.25" customHeight="1" x14ac:dyDescent="0.2">
      <c r="A13" s="32">
        <v>3</v>
      </c>
      <c r="B13" s="10" t="s">
        <v>60</v>
      </c>
      <c r="C13" s="10" t="s">
        <v>1</v>
      </c>
      <c r="D13" s="10" t="s">
        <v>104</v>
      </c>
      <c r="E13" s="29" t="s">
        <v>17</v>
      </c>
      <c r="F13" s="31">
        <v>1188</v>
      </c>
      <c r="G13" s="30">
        <f>1575*1.06</f>
        <v>1669.5</v>
      </c>
      <c r="H13" s="30">
        <f t="shared" si="0"/>
        <v>1983366</v>
      </c>
      <c r="I13" s="31" t="s">
        <v>44</v>
      </c>
      <c r="J13" s="41" t="s">
        <v>367</v>
      </c>
    </row>
    <row r="14" spans="1:10" s="12" customFormat="1" ht="54.75" customHeight="1" x14ac:dyDescent="0.2">
      <c r="A14" s="32">
        <v>4</v>
      </c>
      <c r="B14" s="10" t="s">
        <v>311</v>
      </c>
      <c r="C14" s="10" t="s">
        <v>1</v>
      </c>
      <c r="D14" s="10" t="s">
        <v>312</v>
      </c>
      <c r="E14" s="29" t="s">
        <v>20</v>
      </c>
      <c r="F14" s="31">
        <v>16.5</v>
      </c>
      <c r="G14" s="30">
        <f>3424*1.06</f>
        <v>3629.44</v>
      </c>
      <c r="H14" s="30">
        <f t="shared" si="0"/>
        <v>59885.760000000002</v>
      </c>
      <c r="I14" s="31" t="s">
        <v>44</v>
      </c>
      <c r="J14" s="41" t="s">
        <v>367</v>
      </c>
    </row>
    <row r="15" spans="1:10" s="12" customFormat="1" ht="51.75" customHeight="1" x14ac:dyDescent="0.2">
      <c r="A15" s="32">
        <v>5</v>
      </c>
      <c r="B15" s="10" t="s">
        <v>318</v>
      </c>
      <c r="C15" s="10" t="s">
        <v>1</v>
      </c>
      <c r="D15" s="10" t="s">
        <v>297</v>
      </c>
      <c r="E15" s="29" t="s">
        <v>17</v>
      </c>
      <c r="F15" s="31">
        <v>200</v>
      </c>
      <c r="G15" s="30">
        <f>17*1.06</f>
        <v>18.02</v>
      </c>
      <c r="H15" s="30">
        <f t="shared" si="0"/>
        <v>3604</v>
      </c>
      <c r="I15" s="31" t="s">
        <v>44</v>
      </c>
      <c r="J15" s="41" t="s">
        <v>367</v>
      </c>
    </row>
    <row r="16" spans="1:10" s="12" customFormat="1" ht="51" customHeight="1" x14ac:dyDescent="0.2">
      <c r="A16" s="32">
        <v>6</v>
      </c>
      <c r="B16" s="10" t="s">
        <v>319</v>
      </c>
      <c r="C16" s="10" t="s">
        <v>1</v>
      </c>
      <c r="D16" s="10" t="s">
        <v>298</v>
      </c>
      <c r="E16" s="29" t="s">
        <v>17</v>
      </c>
      <c r="F16" s="31">
        <v>200</v>
      </c>
      <c r="G16" s="30">
        <f>24*1.06</f>
        <v>25.44</v>
      </c>
      <c r="H16" s="30">
        <f t="shared" si="0"/>
        <v>5088</v>
      </c>
      <c r="I16" s="31" t="s">
        <v>44</v>
      </c>
      <c r="J16" s="41" t="s">
        <v>367</v>
      </c>
    </row>
    <row r="17" spans="1:10" s="12" customFormat="1" ht="51" customHeight="1" x14ac:dyDescent="0.2">
      <c r="A17" s="32">
        <v>7</v>
      </c>
      <c r="B17" s="10" t="s">
        <v>320</v>
      </c>
      <c r="C17" s="10" t="s">
        <v>1</v>
      </c>
      <c r="D17" s="10" t="s">
        <v>299</v>
      </c>
      <c r="E17" s="29" t="s">
        <v>17</v>
      </c>
      <c r="F17" s="31">
        <v>100</v>
      </c>
      <c r="G17" s="30">
        <f>72*1.06</f>
        <v>76.320000000000007</v>
      </c>
      <c r="H17" s="30">
        <f t="shared" si="0"/>
        <v>7632.0000000000009</v>
      </c>
      <c r="I17" s="31" t="s">
        <v>44</v>
      </c>
      <c r="J17" s="41" t="s">
        <v>367</v>
      </c>
    </row>
    <row r="18" spans="1:10" s="12" customFormat="1" ht="50.25" customHeight="1" x14ac:dyDescent="0.2">
      <c r="A18" s="32">
        <v>8</v>
      </c>
      <c r="B18" s="10" t="s">
        <v>61</v>
      </c>
      <c r="C18" s="10" t="s">
        <v>1</v>
      </c>
      <c r="D18" s="10" t="s">
        <v>105</v>
      </c>
      <c r="E18" s="29" t="s">
        <v>20</v>
      </c>
      <c r="F18" s="31">
        <v>20</v>
      </c>
      <c r="G18" s="30">
        <f>2240*1.06</f>
        <v>2374.4</v>
      </c>
      <c r="H18" s="30">
        <f t="shared" si="0"/>
        <v>47488</v>
      </c>
      <c r="I18" s="31" t="s">
        <v>44</v>
      </c>
      <c r="J18" s="41" t="s">
        <v>367</v>
      </c>
    </row>
    <row r="19" spans="1:10" s="12" customFormat="1" ht="42.75" customHeight="1" x14ac:dyDescent="0.2">
      <c r="A19" s="32">
        <v>9</v>
      </c>
      <c r="B19" s="10" t="s">
        <v>62</v>
      </c>
      <c r="C19" s="10" t="s">
        <v>1</v>
      </c>
      <c r="D19" s="10" t="s">
        <v>106</v>
      </c>
      <c r="E19" s="29" t="s">
        <v>17</v>
      </c>
      <c r="F19" s="31">
        <v>33</v>
      </c>
      <c r="G19" s="30">
        <f>983*1.06</f>
        <v>1041.98</v>
      </c>
      <c r="H19" s="30">
        <f t="shared" si="0"/>
        <v>34385.340000000004</v>
      </c>
      <c r="I19" s="31" t="s">
        <v>44</v>
      </c>
      <c r="J19" s="41" t="s">
        <v>367</v>
      </c>
    </row>
    <row r="20" spans="1:10" s="12" customFormat="1" ht="40.5" customHeight="1" x14ac:dyDescent="0.2">
      <c r="A20" s="32">
        <v>10</v>
      </c>
      <c r="B20" s="10" t="s">
        <v>63</v>
      </c>
      <c r="C20" s="10" t="s">
        <v>1</v>
      </c>
      <c r="D20" s="10" t="s">
        <v>107</v>
      </c>
      <c r="E20" s="29" t="s">
        <v>17</v>
      </c>
      <c r="F20" s="31">
        <v>50</v>
      </c>
      <c r="G20" s="30">
        <f>350*1.06</f>
        <v>371</v>
      </c>
      <c r="H20" s="30">
        <f t="shared" si="0"/>
        <v>18550</v>
      </c>
      <c r="I20" s="31" t="s">
        <v>44</v>
      </c>
      <c r="J20" s="41" t="s">
        <v>367</v>
      </c>
    </row>
    <row r="21" spans="1:10" s="12" customFormat="1" ht="51" customHeight="1" x14ac:dyDescent="0.2">
      <c r="A21" s="32">
        <v>11</v>
      </c>
      <c r="B21" s="10" t="s">
        <v>64</v>
      </c>
      <c r="C21" s="10" t="s">
        <v>1</v>
      </c>
      <c r="D21" s="10" t="s">
        <v>108</v>
      </c>
      <c r="E21" s="29" t="s">
        <v>16</v>
      </c>
      <c r="F21" s="31">
        <v>11</v>
      </c>
      <c r="G21" s="30">
        <f>580*1.06</f>
        <v>614.80000000000007</v>
      </c>
      <c r="H21" s="30">
        <f t="shared" si="0"/>
        <v>6762.8000000000011</v>
      </c>
      <c r="I21" s="31" t="s">
        <v>44</v>
      </c>
      <c r="J21" s="41" t="s">
        <v>367</v>
      </c>
    </row>
    <row r="22" spans="1:10" s="12" customFormat="1" ht="38.25" customHeight="1" x14ac:dyDescent="0.2">
      <c r="A22" s="32">
        <v>12</v>
      </c>
      <c r="B22" s="10" t="s">
        <v>65</v>
      </c>
      <c r="C22" s="10" t="s">
        <v>1</v>
      </c>
      <c r="D22" s="10" t="s">
        <v>109</v>
      </c>
      <c r="E22" s="29" t="s">
        <v>17</v>
      </c>
      <c r="F22" s="31">
        <v>5</v>
      </c>
      <c r="G22" s="30">
        <f>5695*1.06</f>
        <v>6036.7000000000007</v>
      </c>
      <c r="H22" s="30">
        <f t="shared" si="0"/>
        <v>30183.500000000004</v>
      </c>
      <c r="I22" s="31" t="s">
        <v>44</v>
      </c>
      <c r="J22" s="41" t="s">
        <v>367</v>
      </c>
    </row>
    <row r="23" spans="1:10" s="12" customFormat="1" ht="49.5" customHeight="1" x14ac:dyDescent="0.2">
      <c r="A23" s="32">
        <v>13</v>
      </c>
      <c r="B23" s="10" t="s">
        <v>66</v>
      </c>
      <c r="C23" s="10" t="s">
        <v>1</v>
      </c>
      <c r="D23" s="10" t="s">
        <v>110</v>
      </c>
      <c r="E23" s="29" t="s">
        <v>17</v>
      </c>
      <c r="F23" s="31">
        <v>33</v>
      </c>
      <c r="G23" s="30">
        <f>310*1.06</f>
        <v>328.6</v>
      </c>
      <c r="H23" s="30">
        <f t="shared" si="0"/>
        <v>10843.800000000001</v>
      </c>
      <c r="I23" s="31" t="s">
        <v>44</v>
      </c>
      <c r="J23" s="41" t="s">
        <v>367</v>
      </c>
    </row>
    <row r="24" spans="1:10" s="12" customFormat="1" ht="51.75" customHeight="1" x14ac:dyDescent="0.2">
      <c r="A24" s="32">
        <v>14</v>
      </c>
      <c r="B24" s="10" t="s">
        <v>67</v>
      </c>
      <c r="C24" s="10" t="s">
        <v>1</v>
      </c>
      <c r="D24" s="10" t="s">
        <v>111</v>
      </c>
      <c r="E24" s="29" t="s">
        <v>17</v>
      </c>
      <c r="F24" s="31">
        <v>33</v>
      </c>
      <c r="G24" s="30">
        <f>1783*0.6</f>
        <v>1069.8</v>
      </c>
      <c r="H24" s="30">
        <f t="shared" si="0"/>
        <v>35303.4</v>
      </c>
      <c r="I24" s="31" t="s">
        <v>44</v>
      </c>
      <c r="J24" s="41" t="s">
        <v>367</v>
      </c>
    </row>
    <row r="25" spans="1:10" s="12" customFormat="1" ht="42.75" customHeight="1" x14ac:dyDescent="0.2">
      <c r="A25" s="32">
        <v>15</v>
      </c>
      <c r="B25" s="10" t="s">
        <v>68</v>
      </c>
      <c r="C25" s="10" t="s">
        <v>1</v>
      </c>
      <c r="D25" s="10" t="s">
        <v>112</v>
      </c>
      <c r="E25" s="29" t="s">
        <v>17</v>
      </c>
      <c r="F25" s="31">
        <v>132</v>
      </c>
      <c r="G25" s="30">
        <f>100*1.06</f>
        <v>106</v>
      </c>
      <c r="H25" s="30">
        <f t="shared" si="0"/>
        <v>13992</v>
      </c>
      <c r="I25" s="31" t="s">
        <v>44</v>
      </c>
      <c r="J25" s="41" t="s">
        <v>367</v>
      </c>
    </row>
    <row r="26" spans="1:10" s="12" customFormat="1" ht="41.25" customHeight="1" x14ac:dyDescent="0.2">
      <c r="A26" s="32">
        <v>16</v>
      </c>
      <c r="B26" s="10" t="s">
        <v>69</v>
      </c>
      <c r="C26" s="10" t="s">
        <v>1</v>
      </c>
      <c r="D26" s="10" t="s">
        <v>113</v>
      </c>
      <c r="E26" s="29" t="s">
        <v>17</v>
      </c>
      <c r="F26" s="31">
        <v>132</v>
      </c>
      <c r="G26" s="30">
        <f>485*1.06</f>
        <v>514.1</v>
      </c>
      <c r="H26" s="30">
        <f t="shared" si="0"/>
        <v>67861.2</v>
      </c>
      <c r="I26" s="31" t="s">
        <v>44</v>
      </c>
      <c r="J26" s="41" t="s">
        <v>367</v>
      </c>
    </row>
    <row r="27" spans="1:10" s="12" customFormat="1" ht="51" customHeight="1" x14ac:dyDescent="0.2">
      <c r="A27" s="32">
        <v>17</v>
      </c>
      <c r="B27" s="10" t="s">
        <v>70</v>
      </c>
      <c r="C27" s="10" t="s">
        <v>1</v>
      </c>
      <c r="D27" s="10" t="s">
        <v>114</v>
      </c>
      <c r="E27" s="29" t="s">
        <v>17</v>
      </c>
      <c r="F27" s="31">
        <v>100</v>
      </c>
      <c r="G27" s="30">
        <f>1100*1.06</f>
        <v>1166</v>
      </c>
      <c r="H27" s="30">
        <f t="shared" si="0"/>
        <v>116600</v>
      </c>
      <c r="I27" s="31" t="s">
        <v>44</v>
      </c>
      <c r="J27" s="41" t="s">
        <v>367</v>
      </c>
    </row>
    <row r="28" spans="1:10" s="12" customFormat="1" ht="39.75" customHeight="1" x14ac:dyDescent="0.2">
      <c r="A28" s="32">
        <v>18</v>
      </c>
      <c r="B28" s="10" t="s">
        <v>71</v>
      </c>
      <c r="C28" s="10" t="s">
        <v>1</v>
      </c>
      <c r="D28" s="10" t="s">
        <v>115</v>
      </c>
      <c r="E28" s="29" t="s">
        <v>17</v>
      </c>
      <c r="F28" s="31">
        <v>9900</v>
      </c>
      <c r="G28" s="30">
        <f>1750*1.06/100</f>
        <v>18.55</v>
      </c>
      <c r="H28" s="30">
        <f t="shared" si="0"/>
        <v>183645</v>
      </c>
      <c r="I28" s="31" t="s">
        <v>44</v>
      </c>
      <c r="J28" s="41" t="s">
        <v>367</v>
      </c>
    </row>
    <row r="29" spans="1:10" s="12" customFormat="1" ht="54" customHeight="1" x14ac:dyDescent="0.2">
      <c r="A29" s="32">
        <v>19</v>
      </c>
      <c r="B29" s="10" t="s">
        <v>72</v>
      </c>
      <c r="C29" s="10" t="s">
        <v>1</v>
      </c>
      <c r="D29" s="10" t="s">
        <v>116</v>
      </c>
      <c r="E29" s="29" t="s">
        <v>17</v>
      </c>
      <c r="F29" s="31">
        <v>33</v>
      </c>
      <c r="G29" s="30">
        <f>250*1.06</f>
        <v>265</v>
      </c>
      <c r="H29" s="30">
        <f t="shared" si="0"/>
        <v>8745</v>
      </c>
      <c r="I29" s="31" t="s">
        <v>44</v>
      </c>
      <c r="J29" s="41" t="s">
        <v>367</v>
      </c>
    </row>
    <row r="30" spans="1:10" s="12" customFormat="1" ht="50.25" customHeight="1" x14ac:dyDescent="0.2">
      <c r="A30" s="32">
        <v>20</v>
      </c>
      <c r="B30" s="10" t="s">
        <v>73</v>
      </c>
      <c r="C30" s="10" t="s">
        <v>1</v>
      </c>
      <c r="D30" s="10" t="s">
        <v>117</v>
      </c>
      <c r="E30" s="29" t="s">
        <v>17</v>
      </c>
      <c r="F30" s="31">
        <v>33</v>
      </c>
      <c r="G30" s="30">
        <f>99*1.06</f>
        <v>104.94000000000001</v>
      </c>
      <c r="H30" s="30">
        <f t="shared" si="0"/>
        <v>3463.0200000000004</v>
      </c>
      <c r="I30" s="31" t="s">
        <v>44</v>
      </c>
      <c r="J30" s="41" t="s">
        <v>367</v>
      </c>
    </row>
    <row r="31" spans="1:10" s="12" customFormat="1" ht="55.5" customHeight="1" x14ac:dyDescent="0.2">
      <c r="A31" s="32">
        <v>21</v>
      </c>
      <c r="B31" s="10" t="s">
        <v>74</v>
      </c>
      <c r="C31" s="10" t="s">
        <v>1</v>
      </c>
      <c r="D31" s="10" t="s">
        <v>118</v>
      </c>
      <c r="E31" s="29" t="s">
        <v>17</v>
      </c>
      <c r="F31" s="31">
        <v>198</v>
      </c>
      <c r="G31" s="30">
        <f>210*1.06</f>
        <v>222.60000000000002</v>
      </c>
      <c r="H31" s="30">
        <f t="shared" si="0"/>
        <v>44074.8</v>
      </c>
      <c r="I31" s="31" t="s">
        <v>44</v>
      </c>
      <c r="J31" s="41" t="s">
        <v>367</v>
      </c>
    </row>
    <row r="32" spans="1:10" s="12" customFormat="1" ht="41.25" customHeight="1" x14ac:dyDescent="0.2">
      <c r="A32" s="32">
        <v>22</v>
      </c>
      <c r="B32" s="10" t="s">
        <v>75</v>
      </c>
      <c r="C32" s="10" t="s">
        <v>1</v>
      </c>
      <c r="D32" s="10" t="s">
        <v>119</v>
      </c>
      <c r="E32" s="29" t="s">
        <v>20</v>
      </c>
      <c r="F32" s="31">
        <v>132</v>
      </c>
      <c r="G32" s="30">
        <f>140*1.06</f>
        <v>148.4</v>
      </c>
      <c r="H32" s="30">
        <f t="shared" si="0"/>
        <v>19588.8</v>
      </c>
      <c r="I32" s="31" t="s">
        <v>44</v>
      </c>
      <c r="J32" s="41" t="s">
        <v>367</v>
      </c>
    </row>
    <row r="33" spans="1:10" s="12" customFormat="1" ht="51" customHeight="1" x14ac:dyDescent="0.2">
      <c r="A33" s="32">
        <v>23</v>
      </c>
      <c r="B33" s="10" t="s">
        <v>76</v>
      </c>
      <c r="C33" s="10" t="s">
        <v>1</v>
      </c>
      <c r="D33" s="10" t="s">
        <v>120</v>
      </c>
      <c r="E33" s="29" t="s">
        <v>17</v>
      </c>
      <c r="F33" s="31">
        <v>10</v>
      </c>
      <c r="G33" s="30">
        <f>4255*1.06</f>
        <v>4510.3</v>
      </c>
      <c r="H33" s="30">
        <f t="shared" si="0"/>
        <v>45103</v>
      </c>
      <c r="I33" s="31" t="s">
        <v>44</v>
      </c>
      <c r="J33" s="41" t="s">
        <v>367</v>
      </c>
    </row>
    <row r="34" spans="1:10" s="12" customFormat="1" ht="40.5" customHeight="1" x14ac:dyDescent="0.2">
      <c r="A34" s="32">
        <v>24</v>
      </c>
      <c r="B34" s="10" t="s">
        <v>315</v>
      </c>
      <c r="C34" s="10" t="s">
        <v>1</v>
      </c>
      <c r="D34" s="10" t="s">
        <v>316</v>
      </c>
      <c r="E34" s="29" t="s">
        <v>17</v>
      </c>
      <c r="F34" s="31">
        <f>25*4</f>
        <v>100</v>
      </c>
      <c r="G34" s="30">
        <f>4825/25*1.06</f>
        <v>204.58</v>
      </c>
      <c r="H34" s="30">
        <f t="shared" si="0"/>
        <v>20458</v>
      </c>
      <c r="I34" s="31" t="s">
        <v>44</v>
      </c>
      <c r="J34" s="41" t="s">
        <v>367</v>
      </c>
    </row>
    <row r="35" spans="1:10" s="12" customFormat="1" ht="52.5" customHeight="1" x14ac:dyDescent="0.2">
      <c r="A35" s="32">
        <v>25</v>
      </c>
      <c r="B35" s="10" t="s">
        <v>77</v>
      </c>
      <c r="C35" s="10" t="s">
        <v>1</v>
      </c>
      <c r="D35" s="10" t="s">
        <v>121</v>
      </c>
      <c r="E35" s="29" t="s">
        <v>17</v>
      </c>
      <c r="F35" s="31">
        <v>16.5</v>
      </c>
      <c r="G35" s="30">
        <f>4499*1.06</f>
        <v>4768.9400000000005</v>
      </c>
      <c r="H35" s="30">
        <f t="shared" si="0"/>
        <v>78687.510000000009</v>
      </c>
      <c r="I35" s="31" t="s">
        <v>44</v>
      </c>
      <c r="J35" s="41" t="s">
        <v>367</v>
      </c>
    </row>
    <row r="36" spans="1:10" s="12" customFormat="1" ht="39.75" customHeight="1" x14ac:dyDescent="0.2">
      <c r="A36" s="32">
        <v>26</v>
      </c>
      <c r="B36" s="10" t="s">
        <v>317</v>
      </c>
      <c r="C36" s="10" t="s">
        <v>1</v>
      </c>
      <c r="D36" s="10" t="s">
        <v>300</v>
      </c>
      <c r="E36" s="29" t="s">
        <v>20</v>
      </c>
      <c r="F36" s="31">
        <v>198</v>
      </c>
      <c r="G36" s="30">
        <f>110*1.06</f>
        <v>116.60000000000001</v>
      </c>
      <c r="H36" s="30">
        <f t="shared" si="0"/>
        <v>23086.800000000003</v>
      </c>
      <c r="I36" s="31" t="s">
        <v>44</v>
      </c>
      <c r="J36" s="41" t="s">
        <v>367</v>
      </c>
    </row>
    <row r="37" spans="1:10" s="12" customFormat="1" ht="51.75" customHeight="1" x14ac:dyDescent="0.2">
      <c r="A37" s="32">
        <v>27</v>
      </c>
      <c r="B37" s="10" t="s">
        <v>78</v>
      </c>
      <c r="C37" s="10" t="s">
        <v>1</v>
      </c>
      <c r="D37" s="10" t="s">
        <v>122</v>
      </c>
      <c r="E37" s="29" t="s">
        <v>18</v>
      </c>
      <c r="F37" s="31">
        <v>5</v>
      </c>
      <c r="G37" s="30">
        <f>672*1.06</f>
        <v>712.32</v>
      </c>
      <c r="H37" s="30">
        <f t="shared" si="0"/>
        <v>3561.6000000000004</v>
      </c>
      <c r="I37" s="31" t="s">
        <v>44</v>
      </c>
      <c r="J37" s="41" t="s">
        <v>367</v>
      </c>
    </row>
    <row r="38" spans="1:10" s="12" customFormat="1" ht="52.5" customHeight="1" x14ac:dyDescent="0.2">
      <c r="A38" s="32">
        <v>28</v>
      </c>
      <c r="B38" s="10" t="s">
        <v>301</v>
      </c>
      <c r="C38" s="10" t="s">
        <v>1</v>
      </c>
      <c r="D38" s="10" t="s">
        <v>302</v>
      </c>
      <c r="E38" s="29" t="s">
        <v>20</v>
      </c>
      <c r="F38" s="31">
        <v>66</v>
      </c>
      <c r="G38" s="30">
        <f>380*1.06</f>
        <v>402.8</v>
      </c>
      <c r="H38" s="30">
        <f t="shared" si="0"/>
        <v>26584.799999999999</v>
      </c>
      <c r="I38" s="31" t="s">
        <v>44</v>
      </c>
      <c r="J38" s="41" t="s">
        <v>367</v>
      </c>
    </row>
    <row r="39" spans="1:10" s="12" customFormat="1" ht="40.5" customHeight="1" x14ac:dyDescent="0.2">
      <c r="A39" s="32">
        <v>29</v>
      </c>
      <c r="B39" s="10" t="s">
        <v>79</v>
      </c>
      <c r="C39" s="10" t="s">
        <v>1</v>
      </c>
      <c r="D39" s="10" t="s">
        <v>123</v>
      </c>
      <c r="E39" s="29" t="s">
        <v>17</v>
      </c>
      <c r="F39" s="31">
        <v>66</v>
      </c>
      <c r="G39" s="30">
        <f>365*1.06</f>
        <v>386.90000000000003</v>
      </c>
      <c r="H39" s="30">
        <f t="shared" si="0"/>
        <v>25535.4</v>
      </c>
      <c r="I39" s="31" t="s">
        <v>44</v>
      </c>
      <c r="J39" s="41" t="s">
        <v>367</v>
      </c>
    </row>
    <row r="40" spans="1:10" s="12" customFormat="1" ht="54" customHeight="1" x14ac:dyDescent="0.2">
      <c r="A40" s="32">
        <v>30</v>
      </c>
      <c r="B40" s="10" t="s">
        <v>303</v>
      </c>
      <c r="C40" s="10" t="s">
        <v>1</v>
      </c>
      <c r="D40" s="10" t="s">
        <v>304</v>
      </c>
      <c r="E40" s="29" t="s">
        <v>20</v>
      </c>
      <c r="F40" s="31">
        <v>99</v>
      </c>
      <c r="G40" s="30">
        <f>240*1.06</f>
        <v>254.4</v>
      </c>
      <c r="H40" s="30">
        <f t="shared" si="0"/>
        <v>25185.600000000002</v>
      </c>
      <c r="I40" s="31" t="s">
        <v>44</v>
      </c>
      <c r="J40" s="41" t="s">
        <v>367</v>
      </c>
    </row>
    <row r="41" spans="1:10" s="12" customFormat="1" ht="51" customHeight="1" x14ac:dyDescent="0.2">
      <c r="A41" s="32">
        <v>31</v>
      </c>
      <c r="B41" s="10" t="s">
        <v>80</v>
      </c>
      <c r="C41" s="10" t="s">
        <v>1</v>
      </c>
      <c r="D41" s="10" t="s">
        <v>124</v>
      </c>
      <c r="E41" s="29" t="s">
        <v>17</v>
      </c>
      <c r="F41" s="31">
        <v>33</v>
      </c>
      <c r="G41" s="30">
        <f>365*1.06</f>
        <v>386.90000000000003</v>
      </c>
      <c r="H41" s="30">
        <f t="shared" si="0"/>
        <v>12767.7</v>
      </c>
      <c r="I41" s="31" t="s">
        <v>44</v>
      </c>
      <c r="J41" s="41" t="s">
        <v>367</v>
      </c>
    </row>
    <row r="42" spans="1:10" s="12" customFormat="1" ht="51.75" customHeight="1" x14ac:dyDescent="0.2">
      <c r="A42" s="32">
        <v>32</v>
      </c>
      <c r="B42" s="10" t="s">
        <v>81</v>
      </c>
      <c r="C42" s="10" t="s">
        <v>1</v>
      </c>
      <c r="D42" s="10" t="s">
        <v>125</v>
      </c>
      <c r="E42" s="29" t="s">
        <v>17</v>
      </c>
      <c r="F42" s="31">
        <v>66</v>
      </c>
      <c r="G42" s="30">
        <f>250*1.06</f>
        <v>265</v>
      </c>
      <c r="H42" s="30">
        <f t="shared" si="0"/>
        <v>17490</v>
      </c>
      <c r="I42" s="31" t="s">
        <v>44</v>
      </c>
      <c r="J42" s="41" t="s">
        <v>367</v>
      </c>
    </row>
    <row r="43" spans="1:10" s="12" customFormat="1" ht="51.75" customHeight="1" x14ac:dyDescent="0.2">
      <c r="A43" s="32">
        <v>33</v>
      </c>
      <c r="B43" s="10" t="s">
        <v>305</v>
      </c>
      <c r="C43" s="10" t="s">
        <v>1</v>
      </c>
      <c r="D43" s="10" t="s">
        <v>308</v>
      </c>
      <c r="E43" s="29" t="s">
        <v>17</v>
      </c>
      <c r="F43" s="31">
        <v>200</v>
      </c>
      <c r="G43" s="30">
        <f>18*1.06</f>
        <v>19.080000000000002</v>
      </c>
      <c r="H43" s="30">
        <f t="shared" si="0"/>
        <v>3816.0000000000005</v>
      </c>
      <c r="I43" s="31" t="s">
        <v>44</v>
      </c>
      <c r="J43" s="41" t="s">
        <v>367</v>
      </c>
    </row>
    <row r="44" spans="1:10" s="12" customFormat="1" ht="52.5" customHeight="1" x14ac:dyDescent="0.2">
      <c r="A44" s="32">
        <v>34</v>
      </c>
      <c r="B44" s="10" t="s">
        <v>306</v>
      </c>
      <c r="C44" s="10" t="s">
        <v>1</v>
      </c>
      <c r="D44" s="10" t="s">
        <v>309</v>
      </c>
      <c r="E44" s="29" t="s">
        <v>17</v>
      </c>
      <c r="F44" s="31">
        <v>200</v>
      </c>
      <c r="G44" s="30">
        <f>22*1.06</f>
        <v>23.32</v>
      </c>
      <c r="H44" s="30">
        <f t="shared" si="0"/>
        <v>4664</v>
      </c>
      <c r="I44" s="31" t="s">
        <v>44</v>
      </c>
      <c r="J44" s="41" t="s">
        <v>367</v>
      </c>
    </row>
    <row r="45" spans="1:10" s="12" customFormat="1" ht="51.75" customHeight="1" x14ac:dyDescent="0.2">
      <c r="A45" s="32">
        <v>35</v>
      </c>
      <c r="B45" s="10" t="s">
        <v>307</v>
      </c>
      <c r="C45" s="10" t="s">
        <v>1</v>
      </c>
      <c r="D45" s="10" t="s">
        <v>310</v>
      </c>
      <c r="E45" s="29" t="s">
        <v>17</v>
      </c>
      <c r="F45" s="31">
        <v>200</v>
      </c>
      <c r="G45" s="30">
        <f>21*1.06</f>
        <v>22.26</v>
      </c>
      <c r="H45" s="30">
        <f t="shared" si="0"/>
        <v>4452</v>
      </c>
      <c r="I45" s="31" t="s">
        <v>44</v>
      </c>
      <c r="J45" s="41" t="s">
        <v>367</v>
      </c>
    </row>
    <row r="46" spans="1:10" s="12" customFormat="1" ht="39.75" customHeight="1" x14ac:dyDescent="0.2">
      <c r="A46" s="32">
        <v>36</v>
      </c>
      <c r="B46" s="10" t="s">
        <v>82</v>
      </c>
      <c r="C46" s="10" t="s">
        <v>1</v>
      </c>
      <c r="D46" s="10" t="s">
        <v>126</v>
      </c>
      <c r="E46" s="29" t="s">
        <v>17</v>
      </c>
      <c r="F46" s="31">
        <v>132</v>
      </c>
      <c r="G46" s="30">
        <f>490*1.06</f>
        <v>519.4</v>
      </c>
      <c r="H46" s="30">
        <f t="shared" si="0"/>
        <v>68560.800000000003</v>
      </c>
      <c r="I46" s="31" t="s">
        <v>44</v>
      </c>
      <c r="J46" s="41" t="s">
        <v>367</v>
      </c>
    </row>
    <row r="47" spans="1:10" s="12" customFormat="1" ht="39" customHeight="1" x14ac:dyDescent="0.2">
      <c r="A47" s="32">
        <v>37</v>
      </c>
      <c r="B47" s="10" t="s">
        <v>83</v>
      </c>
      <c r="C47" s="10" t="s">
        <v>1</v>
      </c>
      <c r="D47" s="10" t="s">
        <v>127</v>
      </c>
      <c r="E47" s="29" t="s">
        <v>17</v>
      </c>
      <c r="F47" s="31">
        <v>132</v>
      </c>
      <c r="G47" s="30">
        <f>109*1.06</f>
        <v>115.54</v>
      </c>
      <c r="H47" s="30">
        <f t="shared" si="0"/>
        <v>15251.28</v>
      </c>
      <c r="I47" s="31" t="s">
        <v>44</v>
      </c>
      <c r="J47" s="41" t="s">
        <v>367</v>
      </c>
    </row>
    <row r="48" spans="1:10" s="12" customFormat="1" ht="41.25" customHeight="1" x14ac:dyDescent="0.2">
      <c r="A48" s="32">
        <v>38</v>
      </c>
      <c r="B48" s="10" t="s">
        <v>84</v>
      </c>
      <c r="C48" s="10" t="s">
        <v>1</v>
      </c>
      <c r="D48" s="10" t="s">
        <v>128</v>
      </c>
      <c r="E48" s="29" t="s">
        <v>17</v>
      </c>
      <c r="F48" s="31">
        <v>33</v>
      </c>
      <c r="G48" s="30">
        <f>250*1.06</f>
        <v>265</v>
      </c>
      <c r="H48" s="30">
        <f t="shared" si="0"/>
        <v>8745</v>
      </c>
      <c r="I48" s="31" t="s">
        <v>44</v>
      </c>
      <c r="J48" s="41" t="s">
        <v>367</v>
      </c>
    </row>
    <row r="49" spans="1:10" s="12" customFormat="1" ht="40.5" customHeight="1" x14ac:dyDescent="0.2">
      <c r="A49" s="32">
        <v>39</v>
      </c>
      <c r="B49" s="10" t="s">
        <v>85</v>
      </c>
      <c r="C49" s="10" t="s">
        <v>1</v>
      </c>
      <c r="D49" s="10" t="s">
        <v>129</v>
      </c>
      <c r="E49" s="29" t="s">
        <v>17</v>
      </c>
      <c r="F49" s="31">
        <v>33</v>
      </c>
      <c r="G49" s="30">
        <f>75*1.06</f>
        <v>79.5</v>
      </c>
      <c r="H49" s="30">
        <f t="shared" si="0"/>
        <v>2623.5</v>
      </c>
      <c r="I49" s="31" t="s">
        <v>44</v>
      </c>
      <c r="J49" s="41" t="s">
        <v>367</v>
      </c>
    </row>
    <row r="50" spans="1:10" s="12" customFormat="1" ht="51.75" customHeight="1" x14ac:dyDescent="0.2">
      <c r="A50" s="32">
        <v>40</v>
      </c>
      <c r="B50" s="10" t="s">
        <v>313</v>
      </c>
      <c r="C50" s="10" t="s">
        <v>1</v>
      </c>
      <c r="D50" s="10" t="s">
        <v>314</v>
      </c>
      <c r="E50" s="29" t="s">
        <v>17</v>
      </c>
      <c r="F50" s="31">
        <v>198</v>
      </c>
      <c r="G50" s="30">
        <f>680*1.06</f>
        <v>720.80000000000007</v>
      </c>
      <c r="H50" s="30">
        <f t="shared" si="0"/>
        <v>142718.40000000002</v>
      </c>
      <c r="I50" s="31" t="s">
        <v>44</v>
      </c>
      <c r="J50" s="41" t="s">
        <v>367</v>
      </c>
    </row>
    <row r="51" spans="1:10" s="12" customFormat="1" ht="39" customHeight="1" x14ac:dyDescent="0.2">
      <c r="A51" s="32">
        <v>41</v>
      </c>
      <c r="B51" s="10" t="s">
        <v>86</v>
      </c>
      <c r="C51" s="10" t="s">
        <v>1</v>
      </c>
      <c r="D51" s="10" t="s">
        <v>130</v>
      </c>
      <c r="E51" s="29" t="s">
        <v>19</v>
      </c>
      <c r="F51" s="31">
        <v>33</v>
      </c>
      <c r="G51" s="30">
        <f>1150*1.06</f>
        <v>1219</v>
      </c>
      <c r="H51" s="30">
        <f t="shared" si="0"/>
        <v>40227</v>
      </c>
      <c r="I51" s="31" t="s">
        <v>44</v>
      </c>
      <c r="J51" s="41" t="s">
        <v>367</v>
      </c>
    </row>
    <row r="52" spans="1:10" s="12" customFormat="1" ht="51" customHeight="1" x14ac:dyDescent="0.2">
      <c r="A52" s="32">
        <v>42</v>
      </c>
      <c r="B52" s="10" t="s">
        <v>323</v>
      </c>
      <c r="C52" s="10" t="s">
        <v>1</v>
      </c>
      <c r="D52" s="10" t="s">
        <v>324</v>
      </c>
      <c r="E52" s="29" t="s">
        <v>17</v>
      </c>
      <c r="F52" s="31">
        <v>200</v>
      </c>
      <c r="G52" s="30">
        <f>42*1.06</f>
        <v>44.52</v>
      </c>
      <c r="H52" s="30">
        <f t="shared" si="0"/>
        <v>8904</v>
      </c>
      <c r="I52" s="31" t="s">
        <v>44</v>
      </c>
      <c r="J52" s="41" t="s">
        <v>367</v>
      </c>
    </row>
    <row r="53" spans="1:10" s="12" customFormat="1" ht="51" customHeight="1" x14ac:dyDescent="0.2">
      <c r="A53" s="32">
        <v>43</v>
      </c>
      <c r="B53" s="10" t="s">
        <v>322</v>
      </c>
      <c r="C53" s="10" t="s">
        <v>1</v>
      </c>
      <c r="D53" s="10" t="s">
        <v>325</v>
      </c>
      <c r="E53" s="29" t="s">
        <v>17</v>
      </c>
      <c r="F53" s="31">
        <v>200</v>
      </c>
      <c r="G53" s="30">
        <f>37*1.06</f>
        <v>39.22</v>
      </c>
      <c r="H53" s="30">
        <f t="shared" si="0"/>
        <v>7844</v>
      </c>
      <c r="I53" s="31" t="s">
        <v>44</v>
      </c>
      <c r="J53" s="41" t="s">
        <v>367</v>
      </c>
    </row>
    <row r="54" spans="1:10" s="12" customFormat="1" ht="55.5" customHeight="1" x14ac:dyDescent="0.2">
      <c r="A54" s="32">
        <v>44</v>
      </c>
      <c r="B54" s="10" t="s">
        <v>321</v>
      </c>
      <c r="C54" s="10" t="s">
        <v>1</v>
      </c>
      <c r="D54" s="10" t="s">
        <v>326</v>
      </c>
      <c r="E54" s="29" t="s">
        <v>17</v>
      </c>
      <c r="F54" s="31">
        <v>100</v>
      </c>
      <c r="G54" s="30">
        <f>54*1.06</f>
        <v>57.24</v>
      </c>
      <c r="H54" s="30">
        <f t="shared" si="0"/>
        <v>5724</v>
      </c>
      <c r="I54" s="31" t="s">
        <v>44</v>
      </c>
      <c r="J54" s="41" t="s">
        <v>367</v>
      </c>
    </row>
    <row r="55" spans="1:10" s="12" customFormat="1" ht="42" customHeight="1" x14ac:dyDescent="0.2">
      <c r="A55" s="32">
        <v>45</v>
      </c>
      <c r="B55" s="10" t="s">
        <v>327</v>
      </c>
      <c r="C55" s="10" t="s">
        <v>1</v>
      </c>
      <c r="D55" s="10" t="s">
        <v>328</v>
      </c>
      <c r="E55" s="29" t="s">
        <v>20</v>
      </c>
      <c r="F55" s="31">
        <v>198</v>
      </c>
      <c r="G55" s="30">
        <f>155*1.06</f>
        <v>164.3</v>
      </c>
      <c r="H55" s="30">
        <f t="shared" si="0"/>
        <v>32531.4</v>
      </c>
      <c r="I55" s="31" t="s">
        <v>44</v>
      </c>
      <c r="J55" s="41" t="s">
        <v>367</v>
      </c>
    </row>
    <row r="56" spans="1:10" s="12" customFormat="1" ht="50.25" customHeight="1" x14ac:dyDescent="0.2">
      <c r="A56" s="32">
        <v>46</v>
      </c>
      <c r="B56" s="10" t="s">
        <v>87</v>
      </c>
      <c r="C56" s="10" t="s">
        <v>1</v>
      </c>
      <c r="D56" s="10" t="s">
        <v>131</v>
      </c>
      <c r="E56" s="29" t="s">
        <v>17</v>
      </c>
      <c r="F56" s="31">
        <v>100</v>
      </c>
      <c r="G56" s="30">
        <f>80*1.06</f>
        <v>84.800000000000011</v>
      </c>
      <c r="H56" s="30">
        <f t="shared" ref="H56:H76" si="1">F56*G56</f>
        <v>8480.0000000000018</v>
      </c>
      <c r="I56" s="31" t="s">
        <v>44</v>
      </c>
      <c r="J56" s="41" t="s">
        <v>367</v>
      </c>
    </row>
    <row r="57" spans="1:10" s="12" customFormat="1" ht="55.5" customHeight="1" x14ac:dyDescent="0.2">
      <c r="A57" s="32">
        <v>47</v>
      </c>
      <c r="B57" s="10" t="s">
        <v>88</v>
      </c>
      <c r="C57" s="10" t="s">
        <v>1</v>
      </c>
      <c r="D57" s="10" t="s">
        <v>132</v>
      </c>
      <c r="E57" s="29" t="s">
        <v>17</v>
      </c>
      <c r="F57" s="31">
        <v>200</v>
      </c>
      <c r="G57" s="30">
        <f>45*1.06</f>
        <v>47.7</v>
      </c>
      <c r="H57" s="30">
        <f t="shared" si="1"/>
        <v>9540</v>
      </c>
      <c r="I57" s="31" t="s">
        <v>44</v>
      </c>
      <c r="J57" s="41" t="s">
        <v>367</v>
      </c>
    </row>
    <row r="58" spans="1:10" s="12" customFormat="1" ht="54" customHeight="1" x14ac:dyDescent="0.2">
      <c r="A58" s="32">
        <v>48</v>
      </c>
      <c r="B58" s="10" t="s">
        <v>89</v>
      </c>
      <c r="C58" s="10" t="s">
        <v>1</v>
      </c>
      <c r="D58" s="10" t="s">
        <v>133</v>
      </c>
      <c r="E58" s="29" t="s">
        <v>17</v>
      </c>
      <c r="F58" s="31">
        <v>100</v>
      </c>
      <c r="G58" s="30">
        <f>320*1.06</f>
        <v>339.20000000000005</v>
      </c>
      <c r="H58" s="30">
        <f t="shared" si="1"/>
        <v>33920.000000000007</v>
      </c>
      <c r="I58" s="31" t="s">
        <v>44</v>
      </c>
      <c r="J58" s="41" t="s">
        <v>367</v>
      </c>
    </row>
    <row r="59" spans="1:10" s="12" customFormat="1" ht="51.75" customHeight="1" x14ac:dyDescent="0.2">
      <c r="A59" s="32">
        <v>49</v>
      </c>
      <c r="B59" s="10" t="s">
        <v>90</v>
      </c>
      <c r="C59" s="10" t="s">
        <v>1</v>
      </c>
      <c r="D59" s="10" t="s">
        <v>134</v>
      </c>
      <c r="E59" s="29" t="s">
        <v>17</v>
      </c>
      <c r="F59" s="31">
        <f>1</f>
        <v>1</v>
      </c>
      <c r="G59" s="30">
        <f>300*1.06</f>
        <v>318</v>
      </c>
      <c r="H59" s="30">
        <f t="shared" si="1"/>
        <v>318</v>
      </c>
      <c r="I59" s="31" t="s">
        <v>44</v>
      </c>
      <c r="J59" s="41" t="s">
        <v>367</v>
      </c>
    </row>
    <row r="60" spans="1:10" s="12" customFormat="1" ht="51" customHeight="1" x14ac:dyDescent="0.2">
      <c r="A60" s="32">
        <v>50</v>
      </c>
      <c r="B60" s="10" t="s">
        <v>91</v>
      </c>
      <c r="C60" s="10" t="s">
        <v>1</v>
      </c>
      <c r="D60" s="10" t="s">
        <v>135</v>
      </c>
      <c r="E60" s="29" t="s">
        <v>17</v>
      </c>
      <c r="F60" s="31">
        <v>1</v>
      </c>
      <c r="G60" s="30">
        <f>250*1.06</f>
        <v>265</v>
      </c>
      <c r="H60" s="30">
        <f t="shared" si="1"/>
        <v>265</v>
      </c>
      <c r="I60" s="31" t="s">
        <v>44</v>
      </c>
      <c r="J60" s="41" t="s">
        <v>367</v>
      </c>
    </row>
    <row r="61" spans="1:10" s="12" customFormat="1" ht="52.5" customHeight="1" x14ac:dyDescent="0.2">
      <c r="A61" s="32">
        <v>51</v>
      </c>
      <c r="B61" s="10" t="s">
        <v>92</v>
      </c>
      <c r="C61" s="10" t="s">
        <v>1</v>
      </c>
      <c r="D61" s="10" t="s">
        <v>136</v>
      </c>
      <c r="E61" s="29" t="s">
        <v>17</v>
      </c>
      <c r="F61" s="31">
        <v>1</v>
      </c>
      <c r="G61" s="30">
        <f>250*1.06</f>
        <v>265</v>
      </c>
      <c r="H61" s="30">
        <f t="shared" si="1"/>
        <v>265</v>
      </c>
      <c r="I61" s="31" t="s">
        <v>44</v>
      </c>
      <c r="J61" s="41" t="s">
        <v>367</v>
      </c>
    </row>
    <row r="62" spans="1:10" s="12" customFormat="1" ht="57.75" customHeight="1" x14ac:dyDescent="0.2">
      <c r="A62" s="32">
        <v>52</v>
      </c>
      <c r="B62" s="10" t="s">
        <v>93</v>
      </c>
      <c r="C62" s="10" t="s">
        <v>1</v>
      </c>
      <c r="D62" s="10" t="s">
        <v>137</v>
      </c>
      <c r="E62" s="29" t="s">
        <v>17</v>
      </c>
      <c r="F62" s="31">
        <v>33</v>
      </c>
      <c r="G62" s="30">
        <f>160*1.06</f>
        <v>169.60000000000002</v>
      </c>
      <c r="H62" s="30">
        <f t="shared" si="1"/>
        <v>5596.8000000000011</v>
      </c>
      <c r="I62" s="31" t="s">
        <v>44</v>
      </c>
      <c r="J62" s="41" t="s">
        <v>367</v>
      </c>
    </row>
    <row r="63" spans="1:10" s="12" customFormat="1" ht="42.75" customHeight="1" x14ac:dyDescent="0.2">
      <c r="A63" s="32">
        <v>53</v>
      </c>
      <c r="B63" s="10" t="s">
        <v>329</v>
      </c>
      <c r="C63" s="10" t="s">
        <v>1</v>
      </c>
      <c r="D63" s="10" t="s">
        <v>330</v>
      </c>
      <c r="E63" s="29" t="s">
        <v>17</v>
      </c>
      <c r="F63" s="31">
        <v>198</v>
      </c>
      <c r="G63" s="30">
        <f>49*1.06</f>
        <v>51.940000000000005</v>
      </c>
      <c r="H63" s="30">
        <f t="shared" si="1"/>
        <v>10284.120000000001</v>
      </c>
      <c r="I63" s="31" t="s">
        <v>44</v>
      </c>
      <c r="J63" s="41" t="s">
        <v>367</v>
      </c>
    </row>
    <row r="64" spans="1:10" s="12" customFormat="1" ht="49.5" customHeight="1" x14ac:dyDescent="0.2">
      <c r="A64" s="32">
        <v>54</v>
      </c>
      <c r="B64" s="10" t="s">
        <v>331</v>
      </c>
      <c r="C64" s="10" t="s">
        <v>1</v>
      </c>
      <c r="D64" s="10" t="s">
        <v>332</v>
      </c>
      <c r="E64" s="29" t="s">
        <v>17</v>
      </c>
      <c r="F64" s="31">
        <v>132</v>
      </c>
      <c r="G64" s="30">
        <f>747*1.06</f>
        <v>791.82</v>
      </c>
      <c r="H64" s="30">
        <f t="shared" si="1"/>
        <v>104520.24</v>
      </c>
      <c r="I64" s="31" t="s">
        <v>44</v>
      </c>
      <c r="J64" s="41" t="s">
        <v>367</v>
      </c>
    </row>
    <row r="65" spans="1:10" s="12" customFormat="1" ht="51" customHeight="1" x14ac:dyDescent="0.2">
      <c r="A65" s="32">
        <v>55</v>
      </c>
      <c r="B65" s="10" t="s">
        <v>94</v>
      </c>
      <c r="C65" s="10" t="s">
        <v>1</v>
      </c>
      <c r="D65" s="10" t="s">
        <v>138</v>
      </c>
      <c r="E65" s="29" t="s">
        <v>17</v>
      </c>
      <c r="F65" s="31">
        <v>11</v>
      </c>
      <c r="G65" s="30">
        <f>4450*1.06</f>
        <v>4717</v>
      </c>
      <c r="H65" s="30">
        <f t="shared" si="1"/>
        <v>51887</v>
      </c>
      <c r="I65" s="31" t="s">
        <v>44</v>
      </c>
      <c r="J65" s="41" t="s">
        <v>367</v>
      </c>
    </row>
    <row r="66" spans="1:10" s="12" customFormat="1" ht="39.75" customHeight="1" x14ac:dyDescent="0.2">
      <c r="A66" s="32">
        <v>56</v>
      </c>
      <c r="B66" s="10" t="s">
        <v>333</v>
      </c>
      <c r="C66" s="10" t="s">
        <v>1</v>
      </c>
      <c r="D66" s="10" t="s">
        <v>334</v>
      </c>
      <c r="E66" s="29" t="s">
        <v>20</v>
      </c>
      <c r="F66" s="31">
        <v>132</v>
      </c>
      <c r="G66" s="30">
        <f>155*1.06</f>
        <v>164.3</v>
      </c>
      <c r="H66" s="30">
        <f t="shared" si="1"/>
        <v>21687.600000000002</v>
      </c>
      <c r="I66" s="31" t="s">
        <v>44</v>
      </c>
      <c r="J66" s="41" t="s">
        <v>367</v>
      </c>
    </row>
    <row r="67" spans="1:10" s="12" customFormat="1" ht="48" customHeight="1" x14ac:dyDescent="0.2">
      <c r="A67" s="32">
        <v>57</v>
      </c>
      <c r="B67" s="10" t="s">
        <v>95</v>
      </c>
      <c r="C67" s="10" t="s">
        <v>1</v>
      </c>
      <c r="D67" s="10" t="s">
        <v>139</v>
      </c>
      <c r="E67" s="29" t="s">
        <v>17</v>
      </c>
      <c r="F67" s="31">
        <v>33</v>
      </c>
      <c r="G67" s="30">
        <f>195*1.06</f>
        <v>206.70000000000002</v>
      </c>
      <c r="H67" s="30">
        <f t="shared" si="1"/>
        <v>6821.1</v>
      </c>
      <c r="I67" s="31" t="s">
        <v>44</v>
      </c>
      <c r="J67" s="41" t="s">
        <v>367</v>
      </c>
    </row>
    <row r="68" spans="1:10" s="12" customFormat="1" ht="42.75" customHeight="1" x14ac:dyDescent="0.2">
      <c r="A68" s="32">
        <v>58</v>
      </c>
      <c r="B68" s="10" t="s">
        <v>96</v>
      </c>
      <c r="C68" s="10" t="s">
        <v>1</v>
      </c>
      <c r="D68" s="10" t="s">
        <v>140</v>
      </c>
      <c r="E68" s="29" t="s">
        <v>17</v>
      </c>
      <c r="F68" s="31">
        <v>100</v>
      </c>
      <c r="G68" s="30">
        <v>80</v>
      </c>
      <c r="H68" s="30">
        <f t="shared" si="1"/>
        <v>8000</v>
      </c>
      <c r="I68" s="31" t="s">
        <v>44</v>
      </c>
      <c r="J68" s="41" t="s">
        <v>367</v>
      </c>
    </row>
    <row r="69" spans="1:10" s="12" customFormat="1" ht="41.25" customHeight="1" x14ac:dyDescent="0.2">
      <c r="A69" s="32">
        <v>59</v>
      </c>
      <c r="B69" s="10" t="s">
        <v>97</v>
      </c>
      <c r="C69" s="10" t="s">
        <v>1</v>
      </c>
      <c r="D69" s="10" t="s">
        <v>141</v>
      </c>
      <c r="E69" s="29" t="s">
        <v>17</v>
      </c>
      <c r="F69" s="31">
        <v>100</v>
      </c>
      <c r="G69" s="30">
        <v>20</v>
      </c>
      <c r="H69" s="30">
        <f t="shared" si="1"/>
        <v>2000</v>
      </c>
      <c r="I69" s="31" t="s">
        <v>44</v>
      </c>
      <c r="J69" s="41" t="s">
        <v>367</v>
      </c>
    </row>
    <row r="70" spans="1:10" s="12" customFormat="1" ht="48" customHeight="1" x14ac:dyDescent="0.2">
      <c r="A70" s="32">
        <v>60</v>
      </c>
      <c r="B70" s="10" t="s">
        <v>335</v>
      </c>
      <c r="C70" s="10" t="s">
        <v>1</v>
      </c>
      <c r="D70" s="10" t="s">
        <v>338</v>
      </c>
      <c r="E70" s="29" t="s">
        <v>20</v>
      </c>
      <c r="F70" s="31">
        <f>2</f>
        <v>2</v>
      </c>
      <c r="G70" s="30">
        <f>460*1.06</f>
        <v>487.6</v>
      </c>
      <c r="H70" s="30">
        <f t="shared" si="1"/>
        <v>975.2</v>
      </c>
      <c r="I70" s="31" t="s">
        <v>44</v>
      </c>
      <c r="J70" s="41" t="s">
        <v>367</v>
      </c>
    </row>
    <row r="71" spans="1:10" s="12" customFormat="1" ht="50.25" customHeight="1" x14ac:dyDescent="0.2">
      <c r="A71" s="32">
        <v>61</v>
      </c>
      <c r="B71" s="10" t="s">
        <v>336</v>
      </c>
      <c r="C71" s="10" t="s">
        <v>1</v>
      </c>
      <c r="D71" s="10" t="s">
        <v>337</v>
      </c>
      <c r="E71" s="29" t="s">
        <v>20</v>
      </c>
      <c r="F71" s="31">
        <v>1</v>
      </c>
      <c r="G71" s="30">
        <f>820*1.06</f>
        <v>869.2</v>
      </c>
      <c r="H71" s="30">
        <f t="shared" si="1"/>
        <v>869.2</v>
      </c>
      <c r="I71" s="31" t="s">
        <v>44</v>
      </c>
      <c r="J71" s="41" t="s">
        <v>367</v>
      </c>
    </row>
    <row r="72" spans="1:10" s="12" customFormat="1" ht="51" customHeight="1" x14ac:dyDescent="0.2">
      <c r="A72" s="32">
        <v>62</v>
      </c>
      <c r="B72" s="10" t="s">
        <v>98</v>
      </c>
      <c r="C72" s="10" t="s">
        <v>1</v>
      </c>
      <c r="D72" s="10" t="s">
        <v>142</v>
      </c>
      <c r="E72" s="29" t="s">
        <v>17</v>
      </c>
      <c r="F72" s="31">
        <v>20</v>
      </c>
      <c r="G72" s="30">
        <f>300*1.06</f>
        <v>318</v>
      </c>
      <c r="H72" s="30">
        <f t="shared" si="1"/>
        <v>6360</v>
      </c>
      <c r="I72" s="31" t="s">
        <v>44</v>
      </c>
      <c r="J72" s="41" t="s">
        <v>367</v>
      </c>
    </row>
    <row r="73" spans="1:10" s="12" customFormat="1" ht="48.75" customHeight="1" x14ac:dyDescent="0.2">
      <c r="A73" s="32">
        <v>63</v>
      </c>
      <c r="B73" s="10" t="s">
        <v>99</v>
      </c>
      <c r="C73" s="10" t="s">
        <v>1</v>
      </c>
      <c r="D73" s="10" t="s">
        <v>143</v>
      </c>
      <c r="E73" s="29" t="s">
        <v>17</v>
      </c>
      <c r="F73" s="31">
        <v>1</v>
      </c>
      <c r="G73" s="30">
        <f>13500*1.06</f>
        <v>14310</v>
      </c>
      <c r="H73" s="30">
        <f t="shared" si="1"/>
        <v>14310</v>
      </c>
      <c r="I73" s="31" t="s">
        <v>44</v>
      </c>
      <c r="J73" s="41" t="s">
        <v>367</v>
      </c>
    </row>
    <row r="74" spans="1:10" s="12" customFormat="1" ht="38.25" customHeight="1" x14ac:dyDescent="0.2">
      <c r="A74" s="32">
        <v>64</v>
      </c>
      <c r="B74" s="10" t="s">
        <v>339</v>
      </c>
      <c r="C74" s="10" t="s">
        <v>1</v>
      </c>
      <c r="D74" s="10" t="s">
        <v>340</v>
      </c>
      <c r="E74" s="29" t="s">
        <v>20</v>
      </c>
      <c r="F74" s="31">
        <v>3</v>
      </c>
      <c r="G74" s="30">
        <f>1500*1.06</f>
        <v>1590</v>
      </c>
      <c r="H74" s="30">
        <f t="shared" si="1"/>
        <v>4770</v>
      </c>
      <c r="I74" s="31" t="s">
        <v>44</v>
      </c>
      <c r="J74" s="41" t="s">
        <v>367</v>
      </c>
    </row>
    <row r="75" spans="1:10" s="12" customFormat="1" ht="41.25" customHeight="1" x14ac:dyDescent="0.2">
      <c r="A75" s="32">
        <v>65</v>
      </c>
      <c r="B75" s="10" t="s">
        <v>100</v>
      </c>
      <c r="C75" s="10" t="s">
        <v>1</v>
      </c>
      <c r="D75" s="10" t="s">
        <v>144</v>
      </c>
      <c r="E75" s="29" t="s">
        <v>17</v>
      </c>
      <c r="F75" s="31">
        <v>99</v>
      </c>
      <c r="G75" s="30">
        <f>155*1.06</f>
        <v>164.3</v>
      </c>
      <c r="H75" s="30">
        <f t="shared" si="1"/>
        <v>16265.7</v>
      </c>
      <c r="I75" s="31" t="s">
        <v>44</v>
      </c>
      <c r="J75" s="41" t="s">
        <v>367</v>
      </c>
    </row>
    <row r="76" spans="1:10" s="12" customFormat="1" ht="49.5" customHeight="1" x14ac:dyDescent="0.2">
      <c r="A76" s="32">
        <v>66</v>
      </c>
      <c r="B76" s="10" t="s">
        <v>101</v>
      </c>
      <c r="C76" s="10" t="s">
        <v>1</v>
      </c>
      <c r="D76" s="10" t="s">
        <v>145</v>
      </c>
      <c r="E76" s="29" t="s">
        <v>17</v>
      </c>
      <c r="F76" s="31">
        <v>2</v>
      </c>
      <c r="G76" s="30">
        <f>395*1.06</f>
        <v>418.70000000000005</v>
      </c>
      <c r="H76" s="30">
        <f t="shared" si="1"/>
        <v>837.40000000000009</v>
      </c>
      <c r="I76" s="31" t="s">
        <v>44</v>
      </c>
      <c r="J76" s="41" t="s">
        <v>367</v>
      </c>
    </row>
    <row r="77" spans="1:10" s="12" customFormat="1" ht="50.25" customHeight="1" x14ac:dyDescent="0.2">
      <c r="A77" s="32">
        <v>67</v>
      </c>
      <c r="B77" s="10" t="s">
        <v>341</v>
      </c>
      <c r="C77" s="10" t="s">
        <v>1</v>
      </c>
      <c r="D77" s="10" t="s">
        <v>348</v>
      </c>
      <c r="E77" s="29" t="s">
        <v>16</v>
      </c>
      <c r="F77" s="31">
        <v>10</v>
      </c>
      <c r="G77" s="30">
        <f>32100/1.12*1.06</f>
        <v>30380.357142857141</v>
      </c>
      <c r="H77" s="30">
        <f t="shared" ref="H77:H82" si="2">F77*G77</f>
        <v>303803.57142857142</v>
      </c>
      <c r="I77" s="31" t="s">
        <v>44</v>
      </c>
      <c r="J77" s="41" t="s">
        <v>368</v>
      </c>
    </row>
    <row r="78" spans="1:10" s="12" customFormat="1" ht="49.5" customHeight="1" x14ac:dyDescent="0.2">
      <c r="A78" s="32">
        <v>68</v>
      </c>
      <c r="B78" s="10" t="s">
        <v>342</v>
      </c>
      <c r="C78" s="10" t="s">
        <v>1</v>
      </c>
      <c r="D78" s="10" t="s">
        <v>347</v>
      </c>
      <c r="E78" s="29" t="s">
        <v>17</v>
      </c>
      <c r="F78" s="31">
        <v>5</v>
      </c>
      <c r="G78" s="30">
        <f>39200/1.12*1.06</f>
        <v>37100</v>
      </c>
      <c r="H78" s="30">
        <f t="shared" si="2"/>
        <v>185500</v>
      </c>
      <c r="I78" s="31" t="s">
        <v>44</v>
      </c>
      <c r="J78" s="41" t="s">
        <v>368</v>
      </c>
    </row>
    <row r="79" spans="1:10" s="12" customFormat="1" ht="51.75" customHeight="1" x14ac:dyDescent="0.2">
      <c r="A79" s="32">
        <v>69</v>
      </c>
      <c r="B79" s="10" t="s">
        <v>343</v>
      </c>
      <c r="C79" s="10" t="s">
        <v>1</v>
      </c>
      <c r="D79" s="10" t="s">
        <v>346</v>
      </c>
      <c r="E79" s="29" t="s">
        <v>17</v>
      </c>
      <c r="F79" s="31">
        <v>5</v>
      </c>
      <c r="G79" s="30">
        <f>38800/1.12*1.06</f>
        <v>36721.428571428565</v>
      </c>
      <c r="H79" s="30">
        <f t="shared" si="2"/>
        <v>183607.14285714284</v>
      </c>
      <c r="I79" s="31" t="s">
        <v>44</v>
      </c>
      <c r="J79" s="41" t="s">
        <v>368</v>
      </c>
    </row>
    <row r="80" spans="1:10" s="12" customFormat="1" ht="53.25" customHeight="1" x14ac:dyDescent="0.2">
      <c r="A80" s="32">
        <v>70</v>
      </c>
      <c r="B80" s="10" t="s">
        <v>344</v>
      </c>
      <c r="C80" s="10" t="s">
        <v>1</v>
      </c>
      <c r="D80" s="10" t="s">
        <v>345</v>
      </c>
      <c r="E80" s="29" t="s">
        <v>17</v>
      </c>
      <c r="F80" s="31">
        <v>5</v>
      </c>
      <c r="G80" s="30">
        <f>39900/1.12*1.06</f>
        <v>37762.5</v>
      </c>
      <c r="H80" s="30">
        <f t="shared" si="2"/>
        <v>188812.5</v>
      </c>
      <c r="I80" s="31" t="s">
        <v>44</v>
      </c>
      <c r="J80" s="41" t="s">
        <v>368</v>
      </c>
    </row>
    <row r="81" spans="1:10" s="12" customFormat="1" ht="52.5" customHeight="1" x14ac:dyDescent="0.2">
      <c r="A81" s="32">
        <v>71</v>
      </c>
      <c r="B81" s="10" t="s">
        <v>351</v>
      </c>
      <c r="C81" s="10" t="s">
        <v>1</v>
      </c>
      <c r="D81" s="10" t="s">
        <v>352</v>
      </c>
      <c r="E81" s="29" t="s">
        <v>17</v>
      </c>
      <c r="F81" s="31">
        <v>100</v>
      </c>
      <c r="G81" s="30">
        <f>5690/1.12*1.06</f>
        <v>5385.1785714285706</v>
      </c>
      <c r="H81" s="30">
        <f t="shared" si="2"/>
        <v>538517.85714285704</v>
      </c>
      <c r="I81" s="31" t="s">
        <v>44</v>
      </c>
      <c r="J81" s="41" t="s">
        <v>368</v>
      </c>
    </row>
    <row r="82" spans="1:10" s="12" customFormat="1" ht="42.75" customHeight="1" x14ac:dyDescent="0.2">
      <c r="A82" s="32">
        <v>72</v>
      </c>
      <c r="B82" s="10" t="s">
        <v>349</v>
      </c>
      <c r="C82" s="10" t="s">
        <v>1</v>
      </c>
      <c r="D82" s="10" t="s">
        <v>350</v>
      </c>
      <c r="E82" s="29" t="s">
        <v>17</v>
      </c>
      <c r="F82" s="31">
        <v>5</v>
      </c>
      <c r="G82" s="30">
        <f>22200/1.12*1.06</f>
        <v>21010.714285714283</v>
      </c>
      <c r="H82" s="30">
        <f t="shared" si="2"/>
        <v>105053.57142857142</v>
      </c>
      <c r="I82" s="31" t="s">
        <v>44</v>
      </c>
      <c r="J82" s="41" t="s">
        <v>368</v>
      </c>
    </row>
    <row r="83" spans="1:10" s="12" customFormat="1" ht="53.25" customHeight="1" x14ac:dyDescent="0.2">
      <c r="A83" s="32">
        <v>73</v>
      </c>
      <c r="B83" s="10" t="s">
        <v>353</v>
      </c>
      <c r="C83" s="10" t="s">
        <v>1</v>
      </c>
      <c r="D83" s="10" t="s">
        <v>354</v>
      </c>
      <c r="E83" s="29" t="s">
        <v>17</v>
      </c>
      <c r="F83" s="31">
        <v>3</v>
      </c>
      <c r="G83" s="30">
        <f>8590/1.12*1.06</f>
        <v>8129.8214285714275</v>
      </c>
      <c r="H83" s="30">
        <f>F83*G83</f>
        <v>24389.464285714283</v>
      </c>
      <c r="I83" s="31" t="s">
        <v>44</v>
      </c>
      <c r="J83" s="41" t="s">
        <v>368</v>
      </c>
    </row>
    <row r="84" spans="1:10" s="12" customFormat="1" ht="58.5" customHeight="1" x14ac:dyDescent="0.2">
      <c r="A84" s="32">
        <v>74</v>
      </c>
      <c r="B84" s="10" t="s">
        <v>355</v>
      </c>
      <c r="C84" s="10" t="s">
        <v>1</v>
      </c>
      <c r="D84" s="10" t="s">
        <v>356</v>
      </c>
      <c r="E84" s="29" t="s">
        <v>17</v>
      </c>
      <c r="F84" s="31">
        <v>10</v>
      </c>
      <c r="G84" s="30">
        <f>5290/1.12*1.06</f>
        <v>5006.6071428571431</v>
      </c>
      <c r="H84" s="30">
        <f t="shared" ref="H84:H142" si="3">F84*G84</f>
        <v>50066.071428571435</v>
      </c>
      <c r="I84" s="31" t="s">
        <v>44</v>
      </c>
      <c r="J84" s="41" t="s">
        <v>368</v>
      </c>
    </row>
    <row r="85" spans="1:10" s="12" customFormat="1" ht="56.25" customHeight="1" x14ac:dyDescent="0.2">
      <c r="A85" s="32">
        <v>75</v>
      </c>
      <c r="B85" s="10" t="s">
        <v>146</v>
      </c>
      <c r="C85" s="10" t="s">
        <v>1</v>
      </c>
      <c r="D85" s="10" t="s">
        <v>149</v>
      </c>
      <c r="E85" s="29" t="s">
        <v>17</v>
      </c>
      <c r="F85" s="31">
        <v>40</v>
      </c>
      <c r="G85" s="30">
        <f>8890/1.12*1.06</f>
        <v>8413.75</v>
      </c>
      <c r="H85" s="30">
        <f t="shared" si="3"/>
        <v>336550</v>
      </c>
      <c r="I85" s="31" t="s">
        <v>44</v>
      </c>
      <c r="J85" s="41" t="s">
        <v>368</v>
      </c>
    </row>
    <row r="86" spans="1:10" s="12" customFormat="1" ht="43.5" customHeight="1" x14ac:dyDescent="0.2">
      <c r="A86" s="32">
        <v>76</v>
      </c>
      <c r="B86" s="10" t="s">
        <v>147</v>
      </c>
      <c r="C86" s="10" t="s">
        <v>1</v>
      </c>
      <c r="D86" s="10" t="s">
        <v>150</v>
      </c>
      <c r="E86" s="29" t="s">
        <v>17</v>
      </c>
      <c r="F86" s="31">
        <v>33</v>
      </c>
      <c r="G86" s="30">
        <f>3690*1.06</f>
        <v>3911.4</v>
      </c>
      <c r="H86" s="30">
        <f t="shared" si="3"/>
        <v>129076.2</v>
      </c>
      <c r="I86" s="31" t="s">
        <v>44</v>
      </c>
      <c r="J86" s="41" t="s">
        <v>368</v>
      </c>
    </row>
    <row r="87" spans="1:10" s="12" customFormat="1" ht="55.5" customHeight="1" x14ac:dyDescent="0.2">
      <c r="A87" s="32">
        <v>77</v>
      </c>
      <c r="B87" s="10" t="s">
        <v>148</v>
      </c>
      <c r="C87" s="10" t="s">
        <v>1</v>
      </c>
      <c r="D87" s="10" t="s">
        <v>151</v>
      </c>
      <c r="E87" s="29" t="s">
        <v>17</v>
      </c>
      <c r="F87" s="31">
        <v>1</v>
      </c>
      <c r="G87" s="30">
        <f>349170*1.06</f>
        <v>370120.2</v>
      </c>
      <c r="H87" s="30">
        <f t="shared" si="3"/>
        <v>370120.2</v>
      </c>
      <c r="I87" s="31" t="s">
        <v>44</v>
      </c>
      <c r="J87" s="41" t="s">
        <v>368</v>
      </c>
    </row>
    <row r="88" spans="1:10" s="12" customFormat="1" ht="39.75" customHeight="1" x14ac:dyDescent="0.2">
      <c r="A88" s="32">
        <v>78</v>
      </c>
      <c r="B88" s="10" t="s">
        <v>152</v>
      </c>
      <c r="C88" s="10" t="s">
        <v>1</v>
      </c>
      <c r="D88" s="10" t="s">
        <v>159</v>
      </c>
      <c r="E88" s="29" t="s">
        <v>21</v>
      </c>
      <c r="F88" s="31">
        <v>3000</v>
      </c>
      <c r="G88" s="30">
        <f>155*1.06</f>
        <v>164.3</v>
      </c>
      <c r="H88" s="30">
        <f t="shared" si="3"/>
        <v>492900.00000000006</v>
      </c>
      <c r="I88" s="31" t="s">
        <v>44</v>
      </c>
      <c r="J88" s="41" t="s">
        <v>369</v>
      </c>
    </row>
    <row r="89" spans="1:10" s="12" customFormat="1" ht="40.5" customHeight="1" x14ac:dyDescent="0.2">
      <c r="A89" s="32">
        <v>79</v>
      </c>
      <c r="B89" s="10" t="s">
        <v>153</v>
      </c>
      <c r="C89" s="10" t="s">
        <v>1</v>
      </c>
      <c r="D89" s="10" t="s">
        <v>160</v>
      </c>
      <c r="E89" s="29" t="s">
        <v>21</v>
      </c>
      <c r="F89" s="31">
        <v>3000</v>
      </c>
      <c r="G89" s="30">
        <f>176*1.06</f>
        <v>186.56</v>
      </c>
      <c r="H89" s="30">
        <f t="shared" si="3"/>
        <v>559680</v>
      </c>
      <c r="I89" s="31" t="s">
        <v>44</v>
      </c>
      <c r="J89" s="41" t="s">
        <v>369</v>
      </c>
    </row>
    <row r="90" spans="1:10" s="12" customFormat="1" ht="50.25" customHeight="1" x14ac:dyDescent="0.2">
      <c r="A90" s="32">
        <v>80</v>
      </c>
      <c r="B90" s="10" t="s">
        <v>154</v>
      </c>
      <c r="C90" s="10" t="s">
        <v>1</v>
      </c>
      <c r="D90" s="10" t="s">
        <v>161</v>
      </c>
      <c r="E90" s="29" t="s">
        <v>17</v>
      </c>
      <c r="F90" s="31">
        <f>6*2</f>
        <v>12</v>
      </c>
      <c r="G90" s="30">
        <f>850*1.06</f>
        <v>901</v>
      </c>
      <c r="H90" s="30">
        <f t="shared" si="3"/>
        <v>10812</v>
      </c>
      <c r="I90" s="31" t="s">
        <v>44</v>
      </c>
      <c r="J90" s="41" t="s">
        <v>369</v>
      </c>
    </row>
    <row r="91" spans="1:10" s="12" customFormat="1" ht="49.5" customHeight="1" x14ac:dyDescent="0.2">
      <c r="A91" s="32">
        <v>81</v>
      </c>
      <c r="B91" s="10" t="s">
        <v>155</v>
      </c>
      <c r="C91" s="10" t="s">
        <v>1</v>
      </c>
      <c r="D91" s="10" t="s">
        <v>162</v>
      </c>
      <c r="E91" s="29" t="s">
        <v>17</v>
      </c>
      <c r="F91" s="31">
        <v>4</v>
      </c>
      <c r="G91" s="30">
        <f>73700*1.06</f>
        <v>78122</v>
      </c>
      <c r="H91" s="30">
        <f t="shared" si="3"/>
        <v>312488</v>
      </c>
      <c r="I91" s="31" t="s">
        <v>44</v>
      </c>
      <c r="J91" s="41" t="s">
        <v>369</v>
      </c>
    </row>
    <row r="92" spans="1:10" s="12" customFormat="1" ht="49.5" customHeight="1" x14ac:dyDescent="0.2">
      <c r="A92" s="32">
        <v>82</v>
      </c>
      <c r="B92" s="10" t="s">
        <v>156</v>
      </c>
      <c r="C92" s="10" t="s">
        <v>1</v>
      </c>
      <c r="D92" s="10" t="s">
        <v>163</v>
      </c>
      <c r="E92" s="29" t="s">
        <v>16</v>
      </c>
      <c r="F92" s="31">
        <v>2</v>
      </c>
      <c r="G92" s="30">
        <f>35795*1.06</f>
        <v>37942.700000000004</v>
      </c>
      <c r="H92" s="30">
        <f t="shared" si="3"/>
        <v>75885.400000000009</v>
      </c>
      <c r="I92" s="31" t="s">
        <v>44</v>
      </c>
      <c r="J92" s="41" t="s">
        <v>369</v>
      </c>
    </row>
    <row r="93" spans="1:10" s="12" customFormat="1" ht="42" customHeight="1" x14ac:dyDescent="0.2">
      <c r="A93" s="32">
        <v>83</v>
      </c>
      <c r="B93" s="10" t="s">
        <v>157</v>
      </c>
      <c r="C93" s="10" t="s">
        <v>1</v>
      </c>
      <c r="D93" s="10" t="s">
        <v>164</v>
      </c>
      <c r="E93" s="29" t="s">
        <v>16</v>
      </c>
      <c r="F93" s="31">
        <v>2</v>
      </c>
      <c r="G93" s="30">
        <f>2000*1.06</f>
        <v>2120</v>
      </c>
      <c r="H93" s="30">
        <f t="shared" si="3"/>
        <v>4240</v>
      </c>
      <c r="I93" s="31" t="s">
        <v>44</v>
      </c>
      <c r="J93" s="41" t="s">
        <v>369</v>
      </c>
    </row>
    <row r="94" spans="1:10" s="12" customFormat="1" ht="39.75" customHeight="1" x14ac:dyDescent="0.2">
      <c r="A94" s="32">
        <v>84</v>
      </c>
      <c r="B94" s="10" t="s">
        <v>158</v>
      </c>
      <c r="C94" s="10" t="s">
        <v>1</v>
      </c>
      <c r="D94" s="10" t="s">
        <v>165</v>
      </c>
      <c r="E94" s="29" t="s">
        <v>17</v>
      </c>
      <c r="F94" s="31">
        <v>1</v>
      </c>
      <c r="G94" s="30">
        <f>3000*1.06</f>
        <v>3180</v>
      </c>
      <c r="H94" s="30">
        <f t="shared" si="3"/>
        <v>3180</v>
      </c>
      <c r="I94" s="31" t="s">
        <v>44</v>
      </c>
      <c r="J94" s="41" t="s">
        <v>369</v>
      </c>
    </row>
    <row r="95" spans="1:10" s="12" customFormat="1" ht="39" customHeight="1" x14ac:dyDescent="0.2">
      <c r="A95" s="32">
        <v>85</v>
      </c>
      <c r="B95" s="10" t="s">
        <v>166</v>
      </c>
      <c r="C95" s="10" t="s">
        <v>1</v>
      </c>
      <c r="D95" s="10" t="s">
        <v>186</v>
      </c>
      <c r="E95" s="29" t="s">
        <v>17</v>
      </c>
      <c r="F95" s="31">
        <f>70*12</f>
        <v>840</v>
      </c>
      <c r="G95" s="30">
        <f>600*1.06</f>
        <v>636</v>
      </c>
      <c r="H95" s="30">
        <f t="shared" si="3"/>
        <v>534240</v>
      </c>
      <c r="I95" s="31" t="s">
        <v>44</v>
      </c>
      <c r="J95" s="41" t="s">
        <v>370</v>
      </c>
    </row>
    <row r="96" spans="1:10" s="12" customFormat="1" ht="51.75" customHeight="1" x14ac:dyDescent="0.2">
      <c r="A96" s="32">
        <v>86</v>
      </c>
      <c r="B96" s="10" t="s">
        <v>167</v>
      </c>
      <c r="C96" s="10" t="s">
        <v>1</v>
      </c>
      <c r="D96" s="10" t="s">
        <v>187</v>
      </c>
      <c r="E96" s="29" t="s">
        <v>17</v>
      </c>
      <c r="F96" s="31">
        <f>2*20*12</f>
        <v>480</v>
      </c>
      <c r="G96" s="30">
        <f>119*1.06</f>
        <v>126.14</v>
      </c>
      <c r="H96" s="30">
        <f t="shared" si="3"/>
        <v>60547.199999999997</v>
      </c>
      <c r="I96" s="31" t="s">
        <v>44</v>
      </c>
      <c r="J96" s="41" t="s">
        <v>370</v>
      </c>
    </row>
    <row r="97" spans="1:10" s="12" customFormat="1" ht="52.5" customHeight="1" x14ac:dyDescent="0.2">
      <c r="A97" s="32">
        <v>87</v>
      </c>
      <c r="B97" s="10" t="s">
        <v>168</v>
      </c>
      <c r="C97" s="10" t="s">
        <v>1</v>
      </c>
      <c r="D97" s="10" t="s">
        <v>188</v>
      </c>
      <c r="E97" s="29" t="s">
        <v>17</v>
      </c>
      <c r="F97" s="31">
        <f>2*20*12</f>
        <v>480</v>
      </c>
      <c r="G97" s="30">
        <f>419*1.06</f>
        <v>444.14000000000004</v>
      </c>
      <c r="H97" s="30">
        <f t="shared" si="3"/>
        <v>213187.20000000001</v>
      </c>
      <c r="I97" s="31" t="s">
        <v>44</v>
      </c>
      <c r="J97" s="41" t="s">
        <v>370</v>
      </c>
    </row>
    <row r="98" spans="1:10" s="12" customFormat="1" ht="51.75" customHeight="1" x14ac:dyDescent="0.2">
      <c r="A98" s="32">
        <v>88</v>
      </c>
      <c r="B98" s="10" t="s">
        <v>169</v>
      </c>
      <c r="C98" s="10" t="s">
        <v>1</v>
      </c>
      <c r="D98" s="10" t="s">
        <v>189</v>
      </c>
      <c r="E98" s="29" t="s">
        <v>17</v>
      </c>
      <c r="F98" s="31">
        <f>1000</f>
        <v>1000</v>
      </c>
      <c r="G98" s="30">
        <f>7.5*1.06</f>
        <v>7.95</v>
      </c>
      <c r="H98" s="30">
        <f>F98*G98</f>
        <v>7950</v>
      </c>
      <c r="I98" s="31" t="s">
        <v>44</v>
      </c>
      <c r="J98" s="41" t="s">
        <v>370</v>
      </c>
    </row>
    <row r="99" spans="1:10" s="12" customFormat="1" ht="50.25" customHeight="1" x14ac:dyDescent="0.2">
      <c r="A99" s="32">
        <v>89</v>
      </c>
      <c r="B99" s="10" t="s">
        <v>170</v>
      </c>
      <c r="C99" s="10" t="s">
        <v>1</v>
      </c>
      <c r="D99" s="10" t="s">
        <v>190</v>
      </c>
      <c r="E99" s="29" t="s">
        <v>17</v>
      </c>
      <c r="F99" s="31">
        <f>6</f>
        <v>6</v>
      </c>
      <c r="G99" s="30">
        <f>9490*1.06</f>
        <v>10059.4</v>
      </c>
      <c r="H99" s="30">
        <f t="shared" si="3"/>
        <v>60356.399999999994</v>
      </c>
      <c r="I99" s="31" t="s">
        <v>44</v>
      </c>
      <c r="J99" s="41" t="s">
        <v>370</v>
      </c>
    </row>
    <row r="100" spans="1:10" s="12" customFormat="1" ht="41.25" customHeight="1" x14ac:dyDescent="0.2">
      <c r="A100" s="32">
        <v>90</v>
      </c>
      <c r="B100" s="10" t="s">
        <v>171</v>
      </c>
      <c r="C100" s="10" t="s">
        <v>1</v>
      </c>
      <c r="D100" s="10" t="s">
        <v>191</v>
      </c>
      <c r="E100" s="29" t="s">
        <v>17</v>
      </c>
      <c r="F100" s="31">
        <v>12</v>
      </c>
      <c r="G100" s="30">
        <f>8900*1.06</f>
        <v>9434</v>
      </c>
      <c r="H100" s="30">
        <f t="shared" si="3"/>
        <v>113208</v>
      </c>
      <c r="I100" s="31" t="s">
        <v>44</v>
      </c>
      <c r="J100" s="41" t="s">
        <v>370</v>
      </c>
    </row>
    <row r="101" spans="1:10" s="12" customFormat="1" ht="41.25" customHeight="1" x14ac:dyDescent="0.2">
      <c r="A101" s="32">
        <v>91</v>
      </c>
      <c r="B101" s="10" t="s">
        <v>172</v>
      </c>
      <c r="C101" s="10" t="s">
        <v>1</v>
      </c>
      <c r="D101" s="10" t="s">
        <v>192</v>
      </c>
      <c r="E101" s="29" t="s">
        <v>17</v>
      </c>
      <c r="F101" s="31">
        <v>4</v>
      </c>
      <c r="G101" s="30">
        <f>3000*1.06</f>
        <v>3180</v>
      </c>
      <c r="H101" s="30">
        <f t="shared" si="3"/>
        <v>12720</v>
      </c>
      <c r="I101" s="31" t="s">
        <v>44</v>
      </c>
      <c r="J101" s="41" t="s">
        <v>370</v>
      </c>
    </row>
    <row r="102" spans="1:10" s="12" customFormat="1" ht="39" customHeight="1" x14ac:dyDescent="0.2">
      <c r="A102" s="32">
        <v>92</v>
      </c>
      <c r="B102" s="10" t="s">
        <v>173</v>
      </c>
      <c r="C102" s="10" t="s">
        <v>1</v>
      </c>
      <c r="D102" s="10" t="s">
        <v>193</v>
      </c>
      <c r="E102" s="29" t="s">
        <v>17</v>
      </c>
      <c r="F102" s="31">
        <f>2*4*12</f>
        <v>96</v>
      </c>
      <c r="G102" s="30">
        <f>450*1.06</f>
        <v>477</v>
      </c>
      <c r="H102" s="30">
        <f t="shared" si="3"/>
        <v>45792</v>
      </c>
      <c r="I102" s="31" t="s">
        <v>44</v>
      </c>
      <c r="J102" s="41" t="s">
        <v>370</v>
      </c>
    </row>
    <row r="103" spans="1:10" s="12" customFormat="1" ht="48.75" customHeight="1" x14ac:dyDescent="0.2">
      <c r="A103" s="32">
        <v>93</v>
      </c>
      <c r="B103" s="10" t="s">
        <v>174</v>
      </c>
      <c r="C103" s="10" t="s">
        <v>1</v>
      </c>
      <c r="D103" s="10" t="s">
        <v>194</v>
      </c>
      <c r="E103" s="29" t="s">
        <v>17</v>
      </c>
      <c r="F103" s="31">
        <v>12</v>
      </c>
      <c r="G103" s="30">
        <f>469*1.07</f>
        <v>501.83000000000004</v>
      </c>
      <c r="H103" s="30">
        <f t="shared" si="3"/>
        <v>6021.9600000000009</v>
      </c>
      <c r="I103" s="31" t="s">
        <v>44</v>
      </c>
      <c r="J103" s="41" t="s">
        <v>370</v>
      </c>
    </row>
    <row r="104" spans="1:10" s="12" customFormat="1" ht="52.5" customHeight="1" x14ac:dyDescent="0.2">
      <c r="A104" s="32">
        <v>94</v>
      </c>
      <c r="B104" s="10" t="s">
        <v>175</v>
      </c>
      <c r="C104" s="10" t="s">
        <v>1</v>
      </c>
      <c r="D104" s="10" t="s">
        <v>195</v>
      </c>
      <c r="E104" s="29" t="s">
        <v>17</v>
      </c>
      <c r="F104" s="31">
        <v>12</v>
      </c>
      <c r="G104" s="30">
        <f>1758*1.06</f>
        <v>1863.48</v>
      </c>
      <c r="H104" s="30">
        <f t="shared" si="3"/>
        <v>22361.760000000002</v>
      </c>
      <c r="I104" s="31" t="s">
        <v>44</v>
      </c>
      <c r="J104" s="41" t="s">
        <v>370</v>
      </c>
    </row>
    <row r="105" spans="1:10" s="12" customFormat="1" ht="49.5" customHeight="1" x14ac:dyDescent="0.2">
      <c r="A105" s="32">
        <v>95</v>
      </c>
      <c r="B105" s="10" t="s">
        <v>176</v>
      </c>
      <c r="C105" s="10" t="s">
        <v>1</v>
      </c>
      <c r="D105" s="10" t="s">
        <v>196</v>
      </c>
      <c r="E105" s="29" t="s">
        <v>17</v>
      </c>
      <c r="F105" s="31">
        <v>12</v>
      </c>
      <c r="G105" s="30">
        <f>1758*1.06</f>
        <v>1863.48</v>
      </c>
      <c r="H105" s="30">
        <f t="shared" si="3"/>
        <v>22361.760000000002</v>
      </c>
      <c r="I105" s="31" t="s">
        <v>44</v>
      </c>
      <c r="J105" s="41" t="s">
        <v>370</v>
      </c>
    </row>
    <row r="106" spans="1:10" s="12" customFormat="1" ht="49.5" customHeight="1" x14ac:dyDescent="0.2">
      <c r="A106" s="32">
        <v>96</v>
      </c>
      <c r="B106" s="10" t="s">
        <v>177</v>
      </c>
      <c r="C106" s="10" t="s">
        <v>1</v>
      </c>
      <c r="D106" s="10" t="s">
        <v>197</v>
      </c>
      <c r="E106" s="29" t="s">
        <v>17</v>
      </c>
      <c r="F106" s="31">
        <f>6*2</f>
        <v>12</v>
      </c>
      <c r="G106" s="30">
        <f>729*1.06</f>
        <v>772.74</v>
      </c>
      <c r="H106" s="30">
        <f t="shared" si="3"/>
        <v>9272.880000000001</v>
      </c>
      <c r="I106" s="31" t="s">
        <v>44</v>
      </c>
      <c r="J106" s="41" t="s">
        <v>370</v>
      </c>
    </row>
    <row r="107" spans="1:10" s="12" customFormat="1" ht="39" customHeight="1" x14ac:dyDescent="0.2">
      <c r="A107" s="32">
        <v>97</v>
      </c>
      <c r="B107" s="10" t="s">
        <v>178</v>
      </c>
      <c r="C107" s="10" t="s">
        <v>1</v>
      </c>
      <c r="D107" s="10" t="s">
        <v>198</v>
      </c>
      <c r="E107" s="29" t="s">
        <v>17</v>
      </c>
      <c r="F107" s="31">
        <f>3*2</f>
        <v>6</v>
      </c>
      <c r="G107" s="30">
        <f>419*1.06</f>
        <v>444.14000000000004</v>
      </c>
      <c r="H107" s="30">
        <f t="shared" si="3"/>
        <v>2664.84</v>
      </c>
      <c r="I107" s="31" t="s">
        <v>44</v>
      </c>
      <c r="J107" s="41" t="s">
        <v>370</v>
      </c>
    </row>
    <row r="108" spans="1:10" s="12" customFormat="1" ht="38.25" customHeight="1" x14ac:dyDescent="0.2">
      <c r="A108" s="32">
        <v>98</v>
      </c>
      <c r="B108" s="10" t="s">
        <v>179</v>
      </c>
      <c r="C108" s="10" t="s">
        <v>1</v>
      </c>
      <c r="D108" s="10" t="s">
        <v>199</v>
      </c>
      <c r="E108" s="29" t="s">
        <v>17</v>
      </c>
      <c r="F108" s="31">
        <f>2*2*12</f>
        <v>48</v>
      </c>
      <c r="G108" s="30">
        <f>475*1.06</f>
        <v>503.5</v>
      </c>
      <c r="H108" s="30">
        <f t="shared" si="3"/>
        <v>24168</v>
      </c>
      <c r="I108" s="31" t="s">
        <v>44</v>
      </c>
      <c r="J108" s="41" t="s">
        <v>370</v>
      </c>
    </row>
    <row r="109" spans="1:10" s="12" customFormat="1" ht="53.25" customHeight="1" x14ac:dyDescent="0.2">
      <c r="A109" s="32">
        <v>99</v>
      </c>
      <c r="B109" s="10" t="s">
        <v>180</v>
      </c>
      <c r="C109" s="10" t="s">
        <v>1</v>
      </c>
      <c r="D109" s="10" t="s">
        <v>200</v>
      </c>
      <c r="E109" s="29" t="s">
        <v>17</v>
      </c>
      <c r="F109" s="31">
        <f>6</f>
        <v>6</v>
      </c>
      <c r="G109" s="30">
        <f>765*1.06</f>
        <v>810.90000000000009</v>
      </c>
      <c r="H109" s="30">
        <f t="shared" si="3"/>
        <v>4865.4000000000005</v>
      </c>
      <c r="I109" s="31" t="s">
        <v>44</v>
      </c>
      <c r="J109" s="41" t="s">
        <v>370</v>
      </c>
    </row>
    <row r="110" spans="1:10" s="12" customFormat="1" ht="53.25" customHeight="1" x14ac:dyDescent="0.2">
      <c r="A110" s="32">
        <v>100</v>
      </c>
      <c r="B110" s="10" t="s">
        <v>181</v>
      </c>
      <c r="C110" s="10" t="s">
        <v>1</v>
      </c>
      <c r="D110" s="10" t="s">
        <v>201</v>
      </c>
      <c r="E110" s="29" t="s">
        <v>17</v>
      </c>
      <c r="F110" s="31">
        <f>4</f>
        <v>4</v>
      </c>
      <c r="G110" s="30">
        <f>465*1.06</f>
        <v>492.90000000000003</v>
      </c>
      <c r="H110" s="30">
        <f t="shared" si="3"/>
        <v>1971.6000000000001</v>
      </c>
      <c r="I110" s="31" t="s">
        <v>44</v>
      </c>
      <c r="J110" s="41" t="s">
        <v>370</v>
      </c>
    </row>
    <row r="111" spans="1:10" s="12" customFormat="1" ht="43.5" customHeight="1" x14ac:dyDescent="0.2">
      <c r="A111" s="32">
        <v>101</v>
      </c>
      <c r="B111" s="10" t="s">
        <v>182</v>
      </c>
      <c r="C111" s="10" t="s">
        <v>1</v>
      </c>
      <c r="D111" s="10" t="s">
        <v>202</v>
      </c>
      <c r="E111" s="29" t="s">
        <v>17</v>
      </c>
      <c r="F111" s="31">
        <f>2*12</f>
        <v>24</v>
      </c>
      <c r="G111" s="30">
        <f>109*1.06</f>
        <v>115.54</v>
      </c>
      <c r="H111" s="30">
        <f>F111*G111</f>
        <v>2772.96</v>
      </c>
      <c r="I111" s="31" t="s">
        <v>44</v>
      </c>
      <c r="J111" s="41" t="s">
        <v>370</v>
      </c>
    </row>
    <row r="112" spans="1:10" s="12" customFormat="1" ht="49.5" customHeight="1" x14ac:dyDescent="0.2">
      <c r="A112" s="32">
        <v>102</v>
      </c>
      <c r="B112" s="10" t="s">
        <v>183</v>
      </c>
      <c r="C112" s="10" t="s">
        <v>1</v>
      </c>
      <c r="D112" s="10" t="s">
        <v>203</v>
      </c>
      <c r="E112" s="29" t="s">
        <v>17</v>
      </c>
      <c r="F112" s="31">
        <v>10</v>
      </c>
      <c r="G112" s="30">
        <f>120*1.06</f>
        <v>127.2</v>
      </c>
      <c r="H112" s="30">
        <f t="shared" si="3"/>
        <v>1272</v>
      </c>
      <c r="I112" s="31" t="s">
        <v>44</v>
      </c>
      <c r="J112" s="41" t="s">
        <v>370</v>
      </c>
    </row>
    <row r="113" spans="1:10" s="12" customFormat="1" ht="54" customHeight="1" x14ac:dyDescent="0.2">
      <c r="A113" s="32">
        <v>103</v>
      </c>
      <c r="B113" s="37" t="s">
        <v>184</v>
      </c>
      <c r="C113" s="37" t="s">
        <v>1</v>
      </c>
      <c r="D113" s="37" t="s">
        <v>204</v>
      </c>
      <c r="E113" s="38" t="s">
        <v>17</v>
      </c>
      <c r="F113" s="39">
        <v>1</v>
      </c>
      <c r="G113" s="40">
        <v>149468</v>
      </c>
      <c r="H113" s="40">
        <f t="shared" si="3"/>
        <v>149468</v>
      </c>
      <c r="I113" s="39" t="s">
        <v>44</v>
      </c>
      <c r="J113" s="41" t="s">
        <v>370</v>
      </c>
    </row>
    <row r="114" spans="1:10" s="12" customFormat="1" ht="48.75" customHeight="1" x14ac:dyDescent="0.2">
      <c r="A114" s="32">
        <v>104</v>
      </c>
      <c r="B114" s="10" t="s">
        <v>185</v>
      </c>
      <c r="C114" s="10" t="s">
        <v>1</v>
      </c>
      <c r="D114" s="10" t="s">
        <v>205</v>
      </c>
      <c r="E114" s="29" t="s">
        <v>17</v>
      </c>
      <c r="F114" s="31">
        <v>1</v>
      </c>
      <c r="G114" s="30">
        <f>36400*1.06</f>
        <v>38584</v>
      </c>
      <c r="H114" s="30">
        <f t="shared" si="3"/>
        <v>38584</v>
      </c>
      <c r="I114" s="31" t="s">
        <v>44</v>
      </c>
      <c r="J114" s="41" t="s">
        <v>370</v>
      </c>
    </row>
    <row r="115" spans="1:10" s="12" customFormat="1" ht="52.5" customHeight="1" x14ac:dyDescent="0.2">
      <c r="A115" s="32">
        <v>105</v>
      </c>
      <c r="B115" s="10" t="s">
        <v>357</v>
      </c>
      <c r="C115" s="10" t="s">
        <v>1</v>
      </c>
      <c r="D115" s="10" t="s">
        <v>358</v>
      </c>
      <c r="E115" s="29" t="s">
        <v>17</v>
      </c>
      <c r="F115" s="31">
        <v>1</v>
      </c>
      <c r="G115" s="30">
        <f>7351*1.06</f>
        <v>7792.06</v>
      </c>
      <c r="H115" s="30">
        <f t="shared" si="3"/>
        <v>7792.06</v>
      </c>
      <c r="I115" s="31" t="s">
        <v>44</v>
      </c>
      <c r="J115" s="41" t="s">
        <v>370</v>
      </c>
    </row>
    <row r="116" spans="1:10" s="12" customFormat="1" ht="52.5" customHeight="1" x14ac:dyDescent="0.2">
      <c r="A116" s="32">
        <v>106</v>
      </c>
      <c r="B116" s="10" t="s">
        <v>206</v>
      </c>
      <c r="C116" s="10" t="s">
        <v>1</v>
      </c>
      <c r="D116" s="10" t="s">
        <v>214</v>
      </c>
      <c r="E116" s="29" t="s">
        <v>22</v>
      </c>
      <c r="F116" s="31">
        <v>20</v>
      </c>
      <c r="G116" s="30">
        <f>239800/1.12*1.06</f>
        <v>226953.57142857142</v>
      </c>
      <c r="H116" s="30">
        <f t="shared" si="3"/>
        <v>4539071.4285714282</v>
      </c>
      <c r="I116" s="31" t="s">
        <v>44</v>
      </c>
      <c r="J116" s="12" t="s">
        <v>371</v>
      </c>
    </row>
    <row r="117" spans="1:10" s="12" customFormat="1" ht="52.5" customHeight="1" x14ac:dyDescent="0.2">
      <c r="A117" s="32">
        <v>107</v>
      </c>
      <c r="B117" s="10" t="s">
        <v>207</v>
      </c>
      <c r="C117" s="10" t="s">
        <v>1</v>
      </c>
      <c r="D117" s="10" t="s">
        <v>215</v>
      </c>
      <c r="E117" s="29" t="s">
        <v>22</v>
      </c>
      <c r="F117" s="31">
        <v>2</v>
      </c>
      <c r="G117" s="30">
        <f>427800/1.12*1.06</f>
        <v>404882.14285714284</v>
      </c>
      <c r="H117" s="30">
        <f t="shared" si="3"/>
        <v>809764.28571428568</v>
      </c>
      <c r="I117" s="31" t="s">
        <v>44</v>
      </c>
      <c r="J117" s="12" t="s">
        <v>371</v>
      </c>
    </row>
    <row r="118" spans="1:10" s="12" customFormat="1" ht="52.5" customHeight="1" x14ac:dyDescent="0.2">
      <c r="A118" s="32">
        <v>108</v>
      </c>
      <c r="B118" s="10" t="s">
        <v>208</v>
      </c>
      <c r="C118" s="10" t="s">
        <v>222</v>
      </c>
      <c r="D118" s="10" t="s">
        <v>216</v>
      </c>
      <c r="E118" s="29" t="s">
        <v>17</v>
      </c>
      <c r="F118" s="31">
        <v>1</v>
      </c>
      <c r="G118" s="30">
        <f>38016000</f>
        <v>38016000</v>
      </c>
      <c r="H118" s="30">
        <f t="shared" si="3"/>
        <v>38016000</v>
      </c>
      <c r="I118" s="31" t="s">
        <v>44</v>
      </c>
      <c r="J118" s="12" t="s">
        <v>371</v>
      </c>
    </row>
    <row r="119" spans="1:10" s="12" customFormat="1" ht="52.5" customHeight="1" x14ac:dyDescent="0.2">
      <c r="A119" s="32">
        <v>109</v>
      </c>
      <c r="B119" s="10" t="s">
        <v>209</v>
      </c>
      <c r="C119" s="10" t="s">
        <v>1</v>
      </c>
      <c r="D119" s="10" t="s">
        <v>217</v>
      </c>
      <c r="E119" s="29" t="s">
        <v>22</v>
      </c>
      <c r="F119" s="31">
        <v>7</v>
      </c>
      <c r="G119" s="30">
        <f>1879514.56/1.12*1.06</f>
        <v>1778826.28</v>
      </c>
      <c r="H119" s="30">
        <f t="shared" si="3"/>
        <v>12451783.960000001</v>
      </c>
      <c r="I119" s="31" t="s">
        <v>44</v>
      </c>
      <c r="J119" s="12" t="s">
        <v>371</v>
      </c>
    </row>
    <row r="120" spans="1:10" s="12" customFormat="1" ht="65.25" customHeight="1" x14ac:dyDescent="0.2">
      <c r="A120" s="32">
        <v>110</v>
      </c>
      <c r="B120" s="10" t="s">
        <v>210</v>
      </c>
      <c r="C120" s="10" t="s">
        <v>1</v>
      </c>
      <c r="D120" s="10" t="s">
        <v>218</v>
      </c>
      <c r="E120" s="29" t="s">
        <v>17</v>
      </c>
      <c r="F120" s="31">
        <v>1</v>
      </c>
      <c r="G120" s="30">
        <f>708400/1.12</f>
        <v>632499.99999999988</v>
      </c>
      <c r="H120" s="30">
        <f t="shared" si="3"/>
        <v>632499.99999999988</v>
      </c>
      <c r="I120" s="31" t="s">
        <v>44</v>
      </c>
      <c r="J120" s="12" t="s">
        <v>371</v>
      </c>
    </row>
    <row r="121" spans="1:10" s="12" customFormat="1" ht="64.5" customHeight="1" x14ac:dyDescent="0.2">
      <c r="A121" s="32">
        <v>111</v>
      </c>
      <c r="B121" s="10" t="s">
        <v>211</v>
      </c>
      <c r="C121" s="10" t="s">
        <v>1</v>
      </c>
      <c r="D121" s="10" t="s">
        <v>219</v>
      </c>
      <c r="E121" s="29" t="s">
        <v>229</v>
      </c>
      <c r="F121" s="31">
        <v>1</v>
      </c>
      <c r="G121" s="30">
        <f>17964575/1.12</f>
        <v>16039799.107142856</v>
      </c>
      <c r="H121" s="30">
        <f t="shared" si="3"/>
        <v>16039799.107142856</v>
      </c>
      <c r="I121" s="31" t="s">
        <v>44</v>
      </c>
      <c r="J121" s="12" t="s">
        <v>371</v>
      </c>
    </row>
    <row r="122" spans="1:10" s="12" customFormat="1" ht="52.5" customHeight="1" x14ac:dyDescent="0.2">
      <c r="A122" s="32">
        <v>112</v>
      </c>
      <c r="B122" s="10" t="s">
        <v>212</v>
      </c>
      <c r="C122" s="10" t="s">
        <v>1</v>
      </c>
      <c r="D122" s="10" t="s">
        <v>220</v>
      </c>
      <c r="E122" s="29" t="s">
        <v>229</v>
      </c>
      <c r="F122" s="31">
        <v>2</v>
      </c>
      <c r="G122" s="30">
        <f>(54000+27000+27000)/2*1.06/1.12</f>
        <v>51107.142857142855</v>
      </c>
      <c r="H122" s="30">
        <f t="shared" si="3"/>
        <v>102214.28571428571</v>
      </c>
      <c r="I122" s="31" t="s">
        <v>44</v>
      </c>
      <c r="J122" s="12" t="s">
        <v>371</v>
      </c>
    </row>
    <row r="123" spans="1:10" s="12" customFormat="1" ht="52.5" customHeight="1" x14ac:dyDescent="0.2">
      <c r="A123" s="46">
        <v>113</v>
      </c>
      <c r="B123" s="47" t="s">
        <v>213</v>
      </c>
      <c r="C123" s="47" t="s">
        <v>1</v>
      </c>
      <c r="D123" s="47" t="s">
        <v>221</v>
      </c>
      <c r="E123" s="48" t="s">
        <v>22</v>
      </c>
      <c r="F123" s="49">
        <v>12</v>
      </c>
      <c r="G123" s="50">
        <f>153556*1.06</f>
        <v>162769.36000000002</v>
      </c>
      <c r="H123" s="50">
        <f t="shared" si="3"/>
        <v>1953232.3200000003</v>
      </c>
      <c r="I123" s="49" t="s">
        <v>44</v>
      </c>
      <c r="J123" s="12" t="s">
        <v>371</v>
      </c>
    </row>
    <row r="124" spans="1:10" s="12" customFormat="1" ht="52.5" customHeight="1" x14ac:dyDescent="0.2">
      <c r="A124" s="32">
        <v>114</v>
      </c>
      <c r="B124" s="10" t="s">
        <v>383</v>
      </c>
      <c r="C124" s="10" t="s">
        <v>1</v>
      </c>
      <c r="D124" s="10" t="s">
        <v>384</v>
      </c>
      <c r="E124" s="29" t="s">
        <v>17</v>
      </c>
      <c r="F124" s="31">
        <v>1</v>
      </c>
      <c r="G124" s="30">
        <f>249900*1.06</f>
        <v>264894</v>
      </c>
      <c r="H124" s="30">
        <f t="shared" si="3"/>
        <v>264894</v>
      </c>
      <c r="I124" s="31" t="s">
        <v>44</v>
      </c>
      <c r="J124" s="12" t="s">
        <v>372</v>
      </c>
    </row>
    <row r="125" spans="1:10" s="12" customFormat="1" ht="70.5" customHeight="1" x14ac:dyDescent="0.2">
      <c r="A125" s="32">
        <v>115</v>
      </c>
      <c r="B125" s="10" t="s">
        <v>359</v>
      </c>
      <c r="C125" s="10" t="s">
        <v>1</v>
      </c>
      <c r="D125" s="10" t="s">
        <v>360</v>
      </c>
      <c r="E125" s="29" t="s">
        <v>17</v>
      </c>
      <c r="F125" s="31">
        <v>6</v>
      </c>
      <c r="G125" s="30">
        <f>99900*1.06</f>
        <v>105894</v>
      </c>
      <c r="H125" s="30">
        <f t="shared" si="3"/>
        <v>635364</v>
      </c>
      <c r="I125" s="31" t="s">
        <v>44</v>
      </c>
      <c r="J125" s="12" t="s">
        <v>372</v>
      </c>
    </row>
    <row r="126" spans="1:10" s="12" customFormat="1" ht="38.25" customHeight="1" x14ac:dyDescent="0.2">
      <c r="A126" s="32">
        <v>116</v>
      </c>
      <c r="B126" s="10" t="s">
        <v>361</v>
      </c>
      <c r="C126" s="10" t="s">
        <v>1</v>
      </c>
      <c r="D126" s="10" t="s">
        <v>362</v>
      </c>
      <c r="E126" s="29" t="s">
        <v>17</v>
      </c>
      <c r="F126" s="31">
        <v>30</v>
      </c>
      <c r="G126" s="30">
        <f>41800*1.06</f>
        <v>44308</v>
      </c>
      <c r="H126" s="30">
        <f t="shared" si="3"/>
        <v>1329240</v>
      </c>
      <c r="I126" s="31" t="s">
        <v>44</v>
      </c>
      <c r="J126" s="12" t="s">
        <v>372</v>
      </c>
    </row>
    <row r="127" spans="1:10" s="12" customFormat="1" ht="52.5" customHeight="1" x14ac:dyDescent="0.2">
      <c r="A127" s="32">
        <v>117</v>
      </c>
      <c r="B127" s="10" t="s">
        <v>223</v>
      </c>
      <c r="C127" s="10" t="s">
        <v>1</v>
      </c>
      <c r="D127" s="10" t="s">
        <v>226</v>
      </c>
      <c r="E127" s="29" t="s">
        <v>17</v>
      </c>
      <c r="F127" s="31">
        <v>4</v>
      </c>
      <c r="G127" s="30">
        <v>232750</v>
      </c>
      <c r="H127" s="30">
        <f t="shared" si="3"/>
        <v>931000</v>
      </c>
      <c r="I127" s="31" t="s">
        <v>44</v>
      </c>
      <c r="J127" s="12" t="s">
        <v>372</v>
      </c>
    </row>
    <row r="128" spans="1:10" s="12" customFormat="1" ht="52.5" customHeight="1" x14ac:dyDescent="0.2">
      <c r="A128" s="32">
        <v>118</v>
      </c>
      <c r="B128" s="10" t="s">
        <v>224</v>
      </c>
      <c r="C128" s="10" t="s">
        <v>1</v>
      </c>
      <c r="D128" s="10" t="s">
        <v>227</v>
      </c>
      <c r="E128" s="29" t="s">
        <v>17</v>
      </c>
      <c r="F128" s="31">
        <v>1</v>
      </c>
      <c r="G128" s="30">
        <f>358400*1.06</f>
        <v>379904</v>
      </c>
      <c r="H128" s="30">
        <f t="shared" si="3"/>
        <v>379904</v>
      </c>
      <c r="I128" s="31" t="s">
        <v>44</v>
      </c>
      <c r="J128" s="12" t="s">
        <v>372</v>
      </c>
    </row>
    <row r="129" spans="1:10" s="12" customFormat="1" ht="38.25" customHeight="1" x14ac:dyDescent="0.2">
      <c r="A129" s="32">
        <v>119</v>
      </c>
      <c r="B129" s="10" t="s">
        <v>363</v>
      </c>
      <c r="C129" s="10" t="s">
        <v>1</v>
      </c>
      <c r="D129" s="10" t="s">
        <v>364</v>
      </c>
      <c r="E129" s="29" t="s">
        <v>17</v>
      </c>
      <c r="F129" s="31">
        <v>12</v>
      </c>
      <c r="G129" s="30">
        <f>335900*1.06</f>
        <v>356054</v>
      </c>
      <c r="H129" s="30">
        <f t="shared" si="3"/>
        <v>4272648</v>
      </c>
      <c r="I129" s="31" t="s">
        <v>44</v>
      </c>
      <c r="J129" s="12" t="s">
        <v>372</v>
      </c>
    </row>
    <row r="130" spans="1:10" s="12" customFormat="1" ht="48.75" customHeight="1" x14ac:dyDescent="0.2">
      <c r="A130" s="32">
        <v>120</v>
      </c>
      <c r="B130" s="10" t="s">
        <v>225</v>
      </c>
      <c r="C130" s="10" t="s">
        <v>1</v>
      </c>
      <c r="D130" s="10" t="s">
        <v>228</v>
      </c>
      <c r="E130" s="29" t="s">
        <v>17</v>
      </c>
      <c r="F130" s="31">
        <v>12</v>
      </c>
      <c r="G130" s="30">
        <f>47000*1.06</f>
        <v>49820</v>
      </c>
      <c r="H130" s="30">
        <f t="shared" si="3"/>
        <v>597840</v>
      </c>
      <c r="I130" s="31" t="s">
        <v>44</v>
      </c>
      <c r="J130" s="12" t="s">
        <v>372</v>
      </c>
    </row>
    <row r="131" spans="1:10" s="12" customFormat="1" ht="52.5" customHeight="1" x14ac:dyDescent="0.2">
      <c r="A131" s="32">
        <v>121</v>
      </c>
      <c r="B131" s="10" t="s">
        <v>365</v>
      </c>
      <c r="C131" s="10" t="s">
        <v>1</v>
      </c>
      <c r="D131" s="10" t="s">
        <v>366</v>
      </c>
      <c r="E131" s="29" t="s">
        <v>17</v>
      </c>
      <c r="F131" s="31">
        <v>2</v>
      </c>
      <c r="G131" s="30">
        <f>386300*1.06</f>
        <v>409478</v>
      </c>
      <c r="H131" s="30">
        <f t="shared" si="3"/>
        <v>818956</v>
      </c>
      <c r="I131" s="31" t="s">
        <v>44</v>
      </c>
      <c r="J131" s="12" t="s">
        <v>372</v>
      </c>
    </row>
    <row r="132" spans="1:10" s="12" customFormat="1" ht="33.75" customHeight="1" x14ac:dyDescent="0.2">
      <c r="A132" s="32">
        <v>122</v>
      </c>
      <c r="B132" s="10" t="s">
        <v>230</v>
      </c>
      <c r="C132" s="10" t="s">
        <v>1</v>
      </c>
      <c r="D132" s="10" t="s">
        <v>232</v>
      </c>
      <c r="E132" s="29" t="s">
        <v>17</v>
      </c>
      <c r="F132" s="31">
        <v>1</v>
      </c>
      <c r="G132" s="30">
        <f>863000*1.06</f>
        <v>914780</v>
      </c>
      <c r="H132" s="30">
        <f t="shared" si="3"/>
        <v>914780</v>
      </c>
      <c r="I132" s="31" t="s">
        <v>44</v>
      </c>
      <c r="J132" s="12" t="s">
        <v>373</v>
      </c>
    </row>
    <row r="133" spans="1:10" s="12" customFormat="1" ht="79.5" customHeight="1" x14ac:dyDescent="0.2">
      <c r="A133" s="32">
        <v>123</v>
      </c>
      <c r="B133" s="10" t="s">
        <v>231</v>
      </c>
      <c r="C133" s="10" t="s">
        <v>1</v>
      </c>
      <c r="D133" s="10" t="s">
        <v>233</v>
      </c>
      <c r="E133" s="29" t="s">
        <v>17</v>
      </c>
      <c r="F133" s="31">
        <v>1</v>
      </c>
      <c r="G133" s="30">
        <f>246100</f>
        <v>246100</v>
      </c>
      <c r="H133" s="30">
        <f t="shared" si="3"/>
        <v>246100</v>
      </c>
      <c r="I133" s="31" t="s">
        <v>44</v>
      </c>
      <c r="J133" s="12" t="s">
        <v>373</v>
      </c>
    </row>
    <row r="134" spans="1:10" s="12" customFormat="1" ht="52.5" customHeight="1" x14ac:dyDescent="0.2">
      <c r="A134" s="32">
        <v>124</v>
      </c>
      <c r="B134" s="10" t="s">
        <v>234</v>
      </c>
      <c r="C134" s="10" t="s">
        <v>1</v>
      </c>
      <c r="D134" s="10" t="s">
        <v>237</v>
      </c>
      <c r="E134" s="29" t="s">
        <v>17</v>
      </c>
      <c r="F134" s="31">
        <v>1</v>
      </c>
      <c r="G134" s="30">
        <f>52000*1.06</f>
        <v>55120</v>
      </c>
      <c r="H134" s="30">
        <f t="shared" si="3"/>
        <v>55120</v>
      </c>
      <c r="I134" s="31" t="s">
        <v>44</v>
      </c>
      <c r="J134" s="12" t="s">
        <v>374</v>
      </c>
    </row>
    <row r="135" spans="1:10" s="12" customFormat="1" ht="38.25" customHeight="1" x14ac:dyDescent="0.2">
      <c r="A135" s="32">
        <v>125</v>
      </c>
      <c r="B135" s="10" t="s">
        <v>235</v>
      </c>
      <c r="C135" s="10" t="s">
        <v>1</v>
      </c>
      <c r="D135" s="10" t="s">
        <v>238</v>
      </c>
      <c r="E135" s="29" t="s">
        <v>17</v>
      </c>
      <c r="F135" s="31">
        <v>5</v>
      </c>
      <c r="G135" s="30">
        <f>29990*1.06</f>
        <v>31789.4</v>
      </c>
      <c r="H135" s="30">
        <f t="shared" si="3"/>
        <v>158947</v>
      </c>
      <c r="I135" s="31" t="s">
        <v>44</v>
      </c>
      <c r="J135" s="12" t="s">
        <v>374</v>
      </c>
    </row>
    <row r="136" spans="1:10" s="12" customFormat="1" ht="53.25" customHeight="1" x14ac:dyDescent="0.2">
      <c r="A136" s="32">
        <v>126</v>
      </c>
      <c r="B136" s="10" t="s">
        <v>236</v>
      </c>
      <c r="C136" s="10" t="s">
        <v>1</v>
      </c>
      <c r="D136" s="10" t="s">
        <v>239</v>
      </c>
      <c r="E136" s="29" t="s">
        <v>17</v>
      </c>
      <c r="F136" s="31">
        <v>1</v>
      </c>
      <c r="G136" s="30">
        <f>29688*1.06</f>
        <v>31469.280000000002</v>
      </c>
      <c r="H136" s="30">
        <f t="shared" si="3"/>
        <v>31469.280000000002</v>
      </c>
      <c r="I136" s="31" t="s">
        <v>44</v>
      </c>
      <c r="J136" s="12" t="s">
        <v>374</v>
      </c>
    </row>
    <row r="137" spans="1:10" s="12" customFormat="1" ht="37.5" customHeight="1" x14ac:dyDescent="0.2">
      <c r="A137" s="45">
        <v>127</v>
      </c>
      <c r="B137" s="37" t="s">
        <v>240</v>
      </c>
      <c r="C137" s="37" t="s">
        <v>54</v>
      </c>
      <c r="D137" s="37" t="s">
        <v>23</v>
      </c>
      <c r="E137" s="38" t="s">
        <v>17</v>
      </c>
      <c r="F137" s="39">
        <v>1000</v>
      </c>
      <c r="G137" s="40">
        <f>62.5*1.06</f>
        <v>66.25</v>
      </c>
      <c r="H137" s="40">
        <f t="shared" si="3"/>
        <v>66250</v>
      </c>
      <c r="I137" s="39" t="s">
        <v>44</v>
      </c>
      <c r="J137" s="12" t="s">
        <v>375</v>
      </c>
    </row>
    <row r="138" spans="1:10" s="12" customFormat="1" ht="36" customHeight="1" x14ac:dyDescent="0.2">
      <c r="A138" s="32">
        <v>128</v>
      </c>
      <c r="B138" s="10" t="s">
        <v>241</v>
      </c>
      <c r="C138" s="10" t="s">
        <v>54</v>
      </c>
      <c r="D138" s="10" t="s">
        <v>253</v>
      </c>
      <c r="E138" s="29" t="s">
        <v>17</v>
      </c>
      <c r="F138" s="31">
        <v>20</v>
      </c>
      <c r="G138" s="30">
        <f>3660.71*1.06</f>
        <v>3880.3526000000002</v>
      </c>
      <c r="H138" s="30">
        <f t="shared" si="3"/>
        <v>77607.051999999996</v>
      </c>
      <c r="I138" s="31" t="s">
        <v>44</v>
      </c>
      <c r="J138" s="12" t="s">
        <v>375</v>
      </c>
    </row>
    <row r="139" spans="1:10" s="12" customFormat="1" ht="53.25" customHeight="1" x14ac:dyDescent="0.2">
      <c r="A139" s="32">
        <v>129</v>
      </c>
      <c r="B139" s="10" t="s">
        <v>242</v>
      </c>
      <c r="C139" s="10" t="s">
        <v>54</v>
      </c>
      <c r="D139" s="10" t="s">
        <v>24</v>
      </c>
      <c r="E139" s="29" t="s">
        <v>17</v>
      </c>
      <c r="F139" s="31">
        <f>20*50</f>
        <v>1000</v>
      </c>
      <c r="G139" s="30">
        <f>35.71*1.06</f>
        <v>37.852600000000002</v>
      </c>
      <c r="H139" s="30">
        <f t="shared" si="3"/>
        <v>37852.600000000006</v>
      </c>
      <c r="I139" s="31" t="s">
        <v>44</v>
      </c>
      <c r="J139" s="12" t="s">
        <v>375</v>
      </c>
    </row>
    <row r="140" spans="1:10" s="12" customFormat="1" ht="35.25" customHeight="1" x14ac:dyDescent="0.2">
      <c r="A140" s="32">
        <v>130</v>
      </c>
      <c r="B140" s="10" t="s">
        <v>243</v>
      </c>
      <c r="C140" s="10" t="s">
        <v>54</v>
      </c>
      <c r="D140" s="10" t="s">
        <v>254</v>
      </c>
      <c r="E140" s="29" t="s">
        <v>17</v>
      </c>
      <c r="F140" s="31">
        <v>315</v>
      </c>
      <c r="G140" s="30">
        <f>1071.43*1.06</f>
        <v>1135.7158000000002</v>
      </c>
      <c r="H140" s="30">
        <f t="shared" si="3"/>
        <v>357750.47700000007</v>
      </c>
      <c r="I140" s="31" t="s">
        <v>44</v>
      </c>
      <c r="J140" s="12" t="s">
        <v>375</v>
      </c>
    </row>
    <row r="141" spans="1:10" s="12" customFormat="1" ht="48.75" customHeight="1" x14ac:dyDescent="0.2">
      <c r="A141" s="32">
        <v>131</v>
      </c>
      <c r="B141" s="10" t="s">
        <v>244</v>
      </c>
      <c r="C141" s="10" t="s">
        <v>54</v>
      </c>
      <c r="D141" s="10" t="s">
        <v>255</v>
      </c>
      <c r="E141" s="29" t="s">
        <v>17</v>
      </c>
      <c r="F141" s="31">
        <v>50</v>
      </c>
      <c r="G141" s="30">
        <f>750/1.12*1.06</f>
        <v>709.82142857142856</v>
      </c>
      <c r="H141" s="30">
        <f t="shared" si="3"/>
        <v>35491.071428571428</v>
      </c>
      <c r="I141" s="31" t="s">
        <v>44</v>
      </c>
      <c r="J141" s="12" t="s">
        <v>375</v>
      </c>
    </row>
    <row r="142" spans="1:10" s="12" customFormat="1" ht="36" customHeight="1" x14ac:dyDescent="0.2">
      <c r="A142" s="32">
        <v>132</v>
      </c>
      <c r="B142" s="10" t="s">
        <v>245</v>
      </c>
      <c r="C142" s="10" t="s">
        <v>54</v>
      </c>
      <c r="D142" s="10" t="s">
        <v>256</v>
      </c>
      <c r="E142" s="29" t="s">
        <v>17</v>
      </c>
      <c r="F142" s="31">
        <v>40</v>
      </c>
      <c r="G142" s="30">
        <f>5992.5*1.06</f>
        <v>6352.05</v>
      </c>
      <c r="H142" s="30">
        <f t="shared" si="3"/>
        <v>254082</v>
      </c>
      <c r="I142" s="31" t="s">
        <v>44</v>
      </c>
      <c r="J142" s="12" t="s">
        <v>375</v>
      </c>
    </row>
    <row r="143" spans="1:10" s="12" customFormat="1" ht="36" customHeight="1" x14ac:dyDescent="0.2">
      <c r="A143" s="32">
        <v>133</v>
      </c>
      <c r="B143" s="10" t="s">
        <v>246</v>
      </c>
      <c r="C143" s="10" t="s">
        <v>54</v>
      </c>
      <c r="D143" s="10" t="s">
        <v>257</v>
      </c>
      <c r="E143" s="29" t="s">
        <v>17</v>
      </c>
      <c r="F143" s="31">
        <v>100</v>
      </c>
      <c r="G143" s="30">
        <f>758.93*1.06</f>
        <v>804.46579999999994</v>
      </c>
      <c r="H143" s="30">
        <f t="shared" ref="H143:H147" si="4">F143*G143</f>
        <v>80446.579999999987</v>
      </c>
      <c r="I143" s="31" t="s">
        <v>44</v>
      </c>
      <c r="J143" s="12" t="s">
        <v>375</v>
      </c>
    </row>
    <row r="144" spans="1:10" s="12" customFormat="1" ht="41.25" customHeight="1" x14ac:dyDescent="0.2">
      <c r="A144" s="32">
        <v>134</v>
      </c>
      <c r="B144" s="10" t="s">
        <v>247</v>
      </c>
      <c r="C144" s="10" t="s">
        <v>54</v>
      </c>
      <c r="D144" s="10" t="s">
        <v>25</v>
      </c>
      <c r="E144" s="29" t="s">
        <v>17</v>
      </c>
      <c r="F144" s="31">
        <v>150</v>
      </c>
      <c r="G144" s="30">
        <f>535.71*1.06</f>
        <v>567.85260000000005</v>
      </c>
      <c r="H144" s="30">
        <f t="shared" si="4"/>
        <v>85177.890000000014</v>
      </c>
      <c r="I144" s="31" t="s">
        <v>44</v>
      </c>
      <c r="J144" s="12" t="s">
        <v>375</v>
      </c>
    </row>
    <row r="145" spans="1:10" s="12" customFormat="1" ht="39" customHeight="1" x14ac:dyDescent="0.2">
      <c r="A145" s="32">
        <v>135</v>
      </c>
      <c r="B145" s="10" t="s">
        <v>248</v>
      </c>
      <c r="C145" s="10" t="s">
        <v>54</v>
      </c>
      <c r="D145" s="10" t="s">
        <v>26</v>
      </c>
      <c r="E145" s="29" t="s">
        <v>17</v>
      </c>
      <c r="F145" s="31">
        <v>52</v>
      </c>
      <c r="G145" s="30">
        <f>650/1.12*1.06</f>
        <v>615.17857142857133</v>
      </c>
      <c r="H145" s="30">
        <f t="shared" si="4"/>
        <v>31989.28571428571</v>
      </c>
      <c r="I145" s="31" t="s">
        <v>44</v>
      </c>
      <c r="J145" s="12" t="s">
        <v>375</v>
      </c>
    </row>
    <row r="146" spans="1:10" s="12" customFormat="1" ht="37.5" customHeight="1" x14ac:dyDescent="0.2">
      <c r="A146" s="32">
        <v>136</v>
      </c>
      <c r="B146" s="10" t="s">
        <v>249</v>
      </c>
      <c r="C146" s="10" t="s">
        <v>54</v>
      </c>
      <c r="D146" s="10" t="s">
        <v>258</v>
      </c>
      <c r="E146" s="29" t="s">
        <v>17</v>
      </c>
      <c r="F146" s="31">
        <v>100</v>
      </c>
      <c r="G146" s="30">
        <f>758.93*1.06</f>
        <v>804.46579999999994</v>
      </c>
      <c r="H146" s="30">
        <f t="shared" si="4"/>
        <v>80446.579999999987</v>
      </c>
      <c r="I146" s="31" t="s">
        <v>44</v>
      </c>
      <c r="J146" s="12" t="s">
        <v>375</v>
      </c>
    </row>
    <row r="147" spans="1:10" s="12" customFormat="1" ht="48" customHeight="1" x14ac:dyDescent="0.2">
      <c r="A147" s="32">
        <v>137</v>
      </c>
      <c r="B147" s="10" t="s">
        <v>250</v>
      </c>
      <c r="C147" s="10" t="s">
        <v>54</v>
      </c>
      <c r="D147" s="10" t="s">
        <v>27</v>
      </c>
      <c r="E147" s="29" t="s">
        <v>17</v>
      </c>
      <c r="F147" s="31">
        <v>50</v>
      </c>
      <c r="G147" s="30">
        <f>950/1.12*1.06</f>
        <v>899.10714285714289</v>
      </c>
      <c r="H147" s="30">
        <f t="shared" si="4"/>
        <v>44955.357142857145</v>
      </c>
      <c r="I147" s="31" t="s">
        <v>44</v>
      </c>
      <c r="J147" s="12" t="s">
        <v>375</v>
      </c>
    </row>
    <row r="148" spans="1:10" s="12" customFormat="1" ht="39.75" customHeight="1" x14ac:dyDescent="0.2">
      <c r="A148" s="32">
        <v>138</v>
      </c>
      <c r="B148" s="10" t="s">
        <v>251</v>
      </c>
      <c r="C148" s="10" t="s">
        <v>54</v>
      </c>
      <c r="D148" s="10" t="s">
        <v>28</v>
      </c>
      <c r="E148" s="29" t="s">
        <v>17</v>
      </c>
      <c r="F148" s="31">
        <v>50</v>
      </c>
      <c r="G148" s="30">
        <f>758.93*1.06</f>
        <v>804.46579999999994</v>
      </c>
      <c r="H148" s="30">
        <f t="shared" ref="H148:H149" si="5">F148*G148</f>
        <v>40223.289999999994</v>
      </c>
      <c r="I148" s="31" t="s">
        <v>44</v>
      </c>
      <c r="J148" s="12" t="s">
        <v>375</v>
      </c>
    </row>
    <row r="149" spans="1:10" s="12" customFormat="1" ht="39.75" customHeight="1" x14ac:dyDescent="0.2">
      <c r="A149" s="32">
        <v>139</v>
      </c>
      <c r="B149" s="10" t="s">
        <v>252</v>
      </c>
      <c r="C149" s="10" t="s">
        <v>54</v>
      </c>
      <c r="D149" s="10" t="s">
        <v>259</v>
      </c>
      <c r="E149" s="29" t="s">
        <v>17</v>
      </c>
      <c r="F149" s="31">
        <v>12</v>
      </c>
      <c r="G149" s="30">
        <f>3392.86*1.06</f>
        <v>3596.4316000000003</v>
      </c>
      <c r="H149" s="30">
        <f t="shared" si="5"/>
        <v>43157.179200000006</v>
      </c>
      <c r="I149" s="31" t="s">
        <v>44</v>
      </c>
      <c r="J149" s="12" t="s">
        <v>375</v>
      </c>
    </row>
    <row r="150" spans="1:10" s="12" customFormat="1" ht="19.5" customHeight="1" x14ac:dyDescent="0.2">
      <c r="A150" s="57" t="s">
        <v>3</v>
      </c>
      <c r="B150" s="58"/>
      <c r="C150" s="58"/>
      <c r="D150" s="58"/>
      <c r="E150" s="58"/>
      <c r="F150" s="58"/>
      <c r="G150" s="59"/>
      <c r="H150" s="42">
        <f>SUM(H11:H149)</f>
        <v>95345165.278199986</v>
      </c>
      <c r="I150" s="43"/>
    </row>
    <row r="151" spans="1:10" s="12" customFormat="1" ht="22.5" customHeight="1" x14ac:dyDescent="0.2">
      <c r="A151" s="60" t="s">
        <v>14</v>
      </c>
      <c r="B151" s="61"/>
      <c r="C151" s="61"/>
      <c r="D151" s="61"/>
      <c r="E151" s="61"/>
      <c r="F151" s="61"/>
      <c r="G151" s="61"/>
      <c r="H151" s="61"/>
      <c r="I151" s="62"/>
    </row>
    <row r="152" spans="1:10" s="12" customFormat="1" ht="52.5" customHeight="1" x14ac:dyDescent="0.2">
      <c r="A152" s="32">
        <v>1</v>
      </c>
      <c r="B152" s="10" t="s">
        <v>385</v>
      </c>
      <c r="C152" s="10" t="s">
        <v>1</v>
      </c>
      <c r="D152" s="10" t="s">
        <v>386</v>
      </c>
      <c r="E152" s="24" t="s">
        <v>6</v>
      </c>
      <c r="F152" s="31">
        <v>1</v>
      </c>
      <c r="G152" s="30">
        <v>1476429</v>
      </c>
      <c r="H152" s="30">
        <f>G152*F152</f>
        <v>1476429</v>
      </c>
      <c r="I152" s="31" t="s">
        <v>44</v>
      </c>
      <c r="J152" s="12" t="s">
        <v>376</v>
      </c>
    </row>
    <row r="153" spans="1:10" s="12" customFormat="1" ht="51" customHeight="1" x14ac:dyDescent="0.2">
      <c r="A153" s="32">
        <v>2</v>
      </c>
      <c r="B153" s="10" t="s">
        <v>387</v>
      </c>
      <c r="C153" s="10" t="s">
        <v>1</v>
      </c>
      <c r="D153" s="10" t="s">
        <v>388</v>
      </c>
      <c r="E153" s="24" t="s">
        <v>6</v>
      </c>
      <c r="F153" s="31">
        <v>1</v>
      </c>
      <c r="G153" s="30">
        <v>124196</v>
      </c>
      <c r="H153" s="30">
        <f>G153*F153</f>
        <v>124196</v>
      </c>
      <c r="I153" s="31" t="s">
        <v>44</v>
      </c>
      <c r="J153" s="12" t="s">
        <v>376</v>
      </c>
    </row>
    <row r="154" spans="1:10" s="12" customFormat="1" ht="82.5" customHeight="1" x14ac:dyDescent="0.2">
      <c r="A154" s="32">
        <v>3</v>
      </c>
      <c r="B154" s="10" t="s">
        <v>260</v>
      </c>
      <c r="C154" s="10" t="s">
        <v>222</v>
      </c>
      <c r="D154" s="10" t="s">
        <v>262</v>
      </c>
      <c r="E154" s="24" t="s">
        <v>6</v>
      </c>
      <c r="F154" s="31">
        <v>1</v>
      </c>
      <c r="G154" s="30">
        <v>20922000</v>
      </c>
      <c r="H154" s="30">
        <f t="shared" ref="H154:H156" si="6">G154*F154</f>
        <v>20922000</v>
      </c>
      <c r="I154" s="31" t="s">
        <v>44</v>
      </c>
      <c r="J154" s="12" t="s">
        <v>376</v>
      </c>
    </row>
    <row r="155" spans="1:10" s="12" customFormat="1" ht="40.5" customHeight="1" x14ac:dyDescent="0.2">
      <c r="A155" s="32">
        <v>4</v>
      </c>
      <c r="B155" s="10" t="s">
        <v>261</v>
      </c>
      <c r="C155" s="10" t="s">
        <v>1</v>
      </c>
      <c r="D155" s="10" t="s">
        <v>263</v>
      </c>
      <c r="E155" s="24" t="s">
        <v>6</v>
      </c>
      <c r="F155" s="31">
        <v>1</v>
      </c>
      <c r="G155" s="30">
        <v>2952857</v>
      </c>
      <c r="H155" s="30">
        <f t="shared" si="6"/>
        <v>2952857</v>
      </c>
      <c r="I155" s="31" t="s">
        <v>44</v>
      </c>
      <c r="J155" s="12" t="s">
        <v>376</v>
      </c>
    </row>
    <row r="156" spans="1:10" s="12" customFormat="1" ht="64.5" customHeight="1" x14ac:dyDescent="0.2">
      <c r="A156" s="32">
        <v>5</v>
      </c>
      <c r="B156" s="22" t="s">
        <v>264</v>
      </c>
      <c r="C156" s="10" t="s">
        <v>1</v>
      </c>
      <c r="D156" s="22" t="s">
        <v>265</v>
      </c>
      <c r="E156" s="24" t="s">
        <v>6</v>
      </c>
      <c r="F156" s="31">
        <v>1</v>
      </c>
      <c r="G156" s="30">
        <v>563257</v>
      </c>
      <c r="H156" s="11">
        <f t="shared" si="6"/>
        <v>563257</v>
      </c>
      <c r="I156" s="31" t="s">
        <v>44</v>
      </c>
      <c r="J156" s="44" t="s">
        <v>377</v>
      </c>
    </row>
    <row r="157" spans="1:10" s="12" customFormat="1" ht="59.25" customHeight="1" x14ac:dyDescent="0.2">
      <c r="A157" s="32">
        <v>6</v>
      </c>
      <c r="B157" s="22" t="s">
        <v>266</v>
      </c>
      <c r="C157" s="10" t="s">
        <v>1</v>
      </c>
      <c r="D157" s="22" t="s">
        <v>267</v>
      </c>
      <c r="E157" s="24" t="s">
        <v>6</v>
      </c>
      <c r="F157" s="31">
        <v>1</v>
      </c>
      <c r="G157" s="30">
        <v>417216</v>
      </c>
      <c r="H157" s="11">
        <f t="shared" ref="H157:H161" si="7">G157*F157</f>
        <v>417216</v>
      </c>
      <c r="I157" s="31" t="s">
        <v>44</v>
      </c>
      <c r="J157" s="44" t="s">
        <v>377</v>
      </c>
    </row>
    <row r="158" spans="1:10" s="12" customFormat="1" ht="53.25" customHeight="1" x14ac:dyDescent="0.2">
      <c r="A158" s="32">
        <v>7</v>
      </c>
      <c r="B158" s="22" t="s">
        <v>268</v>
      </c>
      <c r="C158" s="10" t="s">
        <v>1</v>
      </c>
      <c r="D158" s="22" t="s">
        <v>269</v>
      </c>
      <c r="E158" s="24" t="s">
        <v>6</v>
      </c>
      <c r="F158" s="31">
        <v>4</v>
      </c>
      <c r="G158" s="30">
        <v>7420</v>
      </c>
      <c r="H158" s="11">
        <f t="shared" si="7"/>
        <v>29680</v>
      </c>
      <c r="I158" s="31" t="s">
        <v>44</v>
      </c>
      <c r="J158" s="44" t="s">
        <v>377</v>
      </c>
    </row>
    <row r="159" spans="1:10" s="12" customFormat="1" ht="73.5" customHeight="1" x14ac:dyDescent="0.2">
      <c r="A159" s="32">
        <v>8</v>
      </c>
      <c r="B159" s="22" t="s">
        <v>270</v>
      </c>
      <c r="C159" s="10" t="s">
        <v>1</v>
      </c>
      <c r="D159" s="22" t="s">
        <v>271</v>
      </c>
      <c r="E159" s="24" t="s">
        <v>6</v>
      </c>
      <c r="F159" s="31">
        <v>1</v>
      </c>
      <c r="G159" s="30">
        <v>1314400</v>
      </c>
      <c r="H159" s="11">
        <f t="shared" si="7"/>
        <v>1314400</v>
      </c>
      <c r="I159" s="31" t="s">
        <v>44</v>
      </c>
      <c r="J159" s="44" t="s">
        <v>377</v>
      </c>
    </row>
    <row r="160" spans="1:10" s="12" customFormat="1" ht="53.25" customHeight="1" x14ac:dyDescent="0.2">
      <c r="A160" s="32">
        <v>9</v>
      </c>
      <c r="B160" s="22" t="s">
        <v>31</v>
      </c>
      <c r="C160" s="10" t="s">
        <v>1</v>
      </c>
      <c r="D160" s="22" t="s">
        <v>272</v>
      </c>
      <c r="E160" s="24" t="s">
        <v>6</v>
      </c>
      <c r="F160" s="31">
        <v>1</v>
      </c>
      <c r="G160" s="30">
        <f>(6000*4+2600+8000+3300+3400+3500+3300+8000+1300+3500+3200+3800+3500+2600+3600+3800+8300+6000)*1.06</f>
        <v>101442</v>
      </c>
      <c r="H160" s="11">
        <f t="shared" si="7"/>
        <v>101442</v>
      </c>
      <c r="I160" s="31" t="s">
        <v>44</v>
      </c>
      <c r="J160" s="44" t="s">
        <v>377</v>
      </c>
    </row>
    <row r="161" spans="1:10" s="12" customFormat="1" ht="40.5" customHeight="1" x14ac:dyDescent="0.2">
      <c r="A161" s="32">
        <v>10</v>
      </c>
      <c r="B161" s="22" t="s">
        <v>32</v>
      </c>
      <c r="C161" s="10" t="s">
        <v>1</v>
      </c>
      <c r="D161" s="22" t="s">
        <v>33</v>
      </c>
      <c r="E161" s="24" t="s">
        <v>6</v>
      </c>
      <c r="F161" s="31">
        <v>1</v>
      </c>
      <c r="G161" s="30">
        <f>200000*1.06</f>
        <v>212000</v>
      </c>
      <c r="H161" s="11">
        <f t="shared" si="7"/>
        <v>212000</v>
      </c>
      <c r="I161" s="31" t="s">
        <v>44</v>
      </c>
      <c r="J161" s="44" t="s">
        <v>377</v>
      </c>
    </row>
    <row r="162" spans="1:10" s="12" customFormat="1" ht="64.5" customHeight="1" x14ac:dyDescent="0.2">
      <c r="A162" s="32">
        <v>11</v>
      </c>
      <c r="B162" s="22" t="s">
        <v>273</v>
      </c>
      <c r="C162" s="10" t="s">
        <v>1</v>
      </c>
      <c r="D162" s="22" t="s">
        <v>274</v>
      </c>
      <c r="E162" s="24" t="s">
        <v>6</v>
      </c>
      <c r="F162" s="31">
        <v>1</v>
      </c>
      <c r="G162" s="30">
        <v>4240000</v>
      </c>
      <c r="H162" s="11">
        <f t="shared" ref="H162" si="8">G162*F162</f>
        <v>4240000</v>
      </c>
      <c r="I162" s="31" t="s">
        <v>44</v>
      </c>
      <c r="J162" s="12" t="s">
        <v>378</v>
      </c>
    </row>
    <row r="163" spans="1:10" s="12" customFormat="1" ht="54.75" customHeight="1" x14ac:dyDescent="0.2">
      <c r="A163" s="32">
        <v>12</v>
      </c>
      <c r="B163" s="22" t="s">
        <v>275</v>
      </c>
      <c r="C163" s="10" t="s">
        <v>1</v>
      </c>
      <c r="D163" s="22" t="s">
        <v>276</v>
      </c>
      <c r="E163" s="24" t="s">
        <v>6</v>
      </c>
      <c r="F163" s="31">
        <v>1</v>
      </c>
      <c r="G163" s="30">
        <v>877680</v>
      </c>
      <c r="H163" s="11">
        <f t="shared" ref="H163:H173" si="9">G163*F163</f>
        <v>877680</v>
      </c>
      <c r="I163" s="31" t="s">
        <v>44</v>
      </c>
      <c r="J163" s="12" t="s">
        <v>378</v>
      </c>
    </row>
    <row r="164" spans="1:10" s="12" customFormat="1" ht="61.5" customHeight="1" x14ac:dyDescent="0.2">
      <c r="A164" s="32">
        <v>13</v>
      </c>
      <c r="B164" s="22" t="s">
        <v>277</v>
      </c>
      <c r="C164" s="10" t="s">
        <v>1</v>
      </c>
      <c r="D164" s="22" t="s">
        <v>280</v>
      </c>
      <c r="E164" s="24" t="s">
        <v>6</v>
      </c>
      <c r="F164" s="31">
        <v>1</v>
      </c>
      <c r="G164" s="30">
        <f>206000/1.12</f>
        <v>183928.57142857142</v>
      </c>
      <c r="H164" s="11">
        <f t="shared" si="9"/>
        <v>183928.57142857142</v>
      </c>
      <c r="I164" s="31" t="s">
        <v>44</v>
      </c>
      <c r="J164" s="12" t="s">
        <v>378</v>
      </c>
    </row>
    <row r="165" spans="1:10" s="12" customFormat="1" ht="55.5" customHeight="1" x14ac:dyDescent="0.2">
      <c r="A165" s="32">
        <v>14</v>
      </c>
      <c r="B165" s="22" t="s">
        <v>278</v>
      </c>
      <c r="C165" s="10" t="s">
        <v>1</v>
      </c>
      <c r="D165" s="22" t="s">
        <v>281</v>
      </c>
      <c r="E165" s="24" t="s">
        <v>6</v>
      </c>
      <c r="F165" s="31">
        <v>1</v>
      </c>
      <c r="G165" s="30">
        <v>160714</v>
      </c>
      <c r="H165" s="11">
        <f t="shared" si="9"/>
        <v>160714</v>
      </c>
      <c r="I165" s="31" t="s">
        <v>44</v>
      </c>
      <c r="J165" s="12" t="s">
        <v>378</v>
      </c>
    </row>
    <row r="166" spans="1:10" s="12" customFormat="1" ht="50.25" customHeight="1" x14ac:dyDescent="0.2">
      <c r="A166" s="32">
        <v>15</v>
      </c>
      <c r="B166" s="22" t="s">
        <v>36</v>
      </c>
      <c r="C166" s="10" t="s">
        <v>1</v>
      </c>
      <c r="D166" s="22" t="s">
        <v>37</v>
      </c>
      <c r="E166" s="24" t="s">
        <v>6</v>
      </c>
      <c r="F166" s="31">
        <v>1</v>
      </c>
      <c r="G166" s="30">
        <v>490000</v>
      </c>
      <c r="H166" s="11">
        <f t="shared" si="9"/>
        <v>490000</v>
      </c>
      <c r="I166" s="31" t="s">
        <v>44</v>
      </c>
      <c r="J166" s="12" t="s">
        <v>378</v>
      </c>
    </row>
    <row r="167" spans="1:10" s="12" customFormat="1" ht="54" customHeight="1" x14ac:dyDescent="0.2">
      <c r="A167" s="32">
        <v>16</v>
      </c>
      <c r="B167" s="22" t="s">
        <v>43</v>
      </c>
      <c r="C167" s="10" t="s">
        <v>1</v>
      </c>
      <c r="D167" s="22" t="s">
        <v>49</v>
      </c>
      <c r="E167" s="24" t="s">
        <v>6</v>
      </c>
      <c r="F167" s="31">
        <v>1</v>
      </c>
      <c r="G167" s="30">
        <v>29044</v>
      </c>
      <c r="H167" s="11">
        <f t="shared" si="9"/>
        <v>29044</v>
      </c>
      <c r="I167" s="31" t="s">
        <v>44</v>
      </c>
      <c r="J167" s="12" t="s">
        <v>378</v>
      </c>
    </row>
    <row r="168" spans="1:10" s="12" customFormat="1" ht="45.75" customHeight="1" x14ac:dyDescent="0.2">
      <c r="A168" s="32">
        <v>17</v>
      </c>
      <c r="B168" s="22" t="s">
        <v>279</v>
      </c>
      <c r="C168" s="10" t="s">
        <v>1</v>
      </c>
      <c r="D168" s="22" t="s">
        <v>39</v>
      </c>
      <c r="E168" s="24" t="s">
        <v>6</v>
      </c>
      <c r="F168" s="31">
        <v>1</v>
      </c>
      <c r="G168" s="30">
        <v>212000</v>
      </c>
      <c r="H168" s="11">
        <f t="shared" si="9"/>
        <v>212000</v>
      </c>
      <c r="I168" s="31" t="s">
        <v>44</v>
      </c>
      <c r="J168" s="12" t="s">
        <v>378</v>
      </c>
    </row>
    <row r="169" spans="1:10" s="12" customFormat="1" ht="42.75" customHeight="1" x14ac:dyDescent="0.2">
      <c r="A169" s="32">
        <v>18</v>
      </c>
      <c r="B169" s="22" t="s">
        <v>56</v>
      </c>
      <c r="C169" s="10" t="s">
        <v>1</v>
      </c>
      <c r="D169" s="22" t="s">
        <v>57</v>
      </c>
      <c r="E169" s="24" t="s">
        <v>6</v>
      </c>
      <c r="F169" s="31">
        <v>1</v>
      </c>
      <c r="G169" s="30">
        <f>784000*1.06/1.12</f>
        <v>741999.99999999988</v>
      </c>
      <c r="H169" s="11">
        <f t="shared" si="9"/>
        <v>741999.99999999988</v>
      </c>
      <c r="I169" s="31" t="s">
        <v>44</v>
      </c>
      <c r="J169" s="12" t="s">
        <v>378</v>
      </c>
    </row>
    <row r="170" spans="1:10" s="12" customFormat="1" ht="39" customHeight="1" x14ac:dyDescent="0.2">
      <c r="A170" s="32">
        <v>19</v>
      </c>
      <c r="B170" s="22" t="s">
        <v>38</v>
      </c>
      <c r="C170" s="10" t="s">
        <v>1</v>
      </c>
      <c r="D170" s="22" t="s">
        <v>40</v>
      </c>
      <c r="E170" s="24" t="s">
        <v>6</v>
      </c>
      <c r="F170" s="31">
        <v>1</v>
      </c>
      <c r="G170" s="30">
        <v>6720000</v>
      </c>
      <c r="H170" s="11">
        <f t="shared" si="9"/>
        <v>6720000</v>
      </c>
      <c r="I170" s="31" t="s">
        <v>44</v>
      </c>
      <c r="J170" s="12" t="s">
        <v>378</v>
      </c>
    </row>
    <row r="171" spans="1:10" s="12" customFormat="1" ht="50.25" customHeight="1" x14ac:dyDescent="0.2">
      <c r="A171" s="32">
        <v>20</v>
      </c>
      <c r="B171" s="22" t="s">
        <v>34</v>
      </c>
      <c r="C171" s="10" t="s">
        <v>1</v>
      </c>
      <c r="D171" s="22" t="s">
        <v>35</v>
      </c>
      <c r="E171" s="24" t="s">
        <v>6</v>
      </c>
      <c r="F171" s="31">
        <v>1</v>
      </c>
      <c r="G171" s="30">
        <v>1240200</v>
      </c>
      <c r="H171" s="11">
        <f t="shared" si="9"/>
        <v>1240200</v>
      </c>
      <c r="I171" s="31" t="s">
        <v>44</v>
      </c>
      <c r="J171" s="12" t="s">
        <v>378</v>
      </c>
    </row>
    <row r="172" spans="1:10" s="12" customFormat="1" ht="50.25" customHeight="1" x14ac:dyDescent="0.2">
      <c r="A172" s="32">
        <v>21</v>
      </c>
      <c r="B172" s="22" t="s">
        <v>282</v>
      </c>
      <c r="C172" s="10" t="s">
        <v>1</v>
      </c>
      <c r="D172" s="22" t="s">
        <v>50</v>
      </c>
      <c r="E172" s="24" t="s">
        <v>6</v>
      </c>
      <c r="F172" s="31">
        <v>1</v>
      </c>
      <c r="G172" s="30">
        <v>495000</v>
      </c>
      <c r="H172" s="11">
        <f t="shared" si="9"/>
        <v>495000</v>
      </c>
      <c r="I172" s="31" t="s">
        <v>44</v>
      </c>
      <c r="J172" s="12" t="s">
        <v>378</v>
      </c>
    </row>
    <row r="173" spans="1:10" s="12" customFormat="1" ht="51" customHeight="1" x14ac:dyDescent="0.2">
      <c r="A173" s="32">
        <v>22</v>
      </c>
      <c r="B173" s="22" t="s">
        <v>283</v>
      </c>
      <c r="C173" s="10" t="s">
        <v>1</v>
      </c>
      <c r="D173" s="22" t="s">
        <v>284</v>
      </c>
      <c r="E173" s="24" t="s">
        <v>6</v>
      </c>
      <c r="F173" s="31">
        <v>4</v>
      </c>
      <c r="G173" s="30">
        <v>15900</v>
      </c>
      <c r="H173" s="11">
        <f t="shared" si="9"/>
        <v>63600</v>
      </c>
      <c r="I173" s="31" t="s">
        <v>44</v>
      </c>
      <c r="J173" s="12" t="s">
        <v>378</v>
      </c>
    </row>
    <row r="174" spans="1:10" s="12" customFormat="1" ht="51" customHeight="1" x14ac:dyDescent="0.2">
      <c r="A174" s="32">
        <v>23</v>
      </c>
      <c r="B174" s="22" t="s">
        <v>45</v>
      </c>
      <c r="C174" s="10" t="s">
        <v>1</v>
      </c>
      <c r="D174" s="22" t="s">
        <v>51</v>
      </c>
      <c r="E174" s="24" t="s">
        <v>6</v>
      </c>
      <c r="F174" s="31">
        <v>1</v>
      </c>
      <c r="G174" s="30">
        <v>1017600</v>
      </c>
      <c r="H174" s="11">
        <f t="shared" ref="H174:H185" si="10">G174*F174</f>
        <v>1017600</v>
      </c>
      <c r="I174" s="31" t="s">
        <v>44</v>
      </c>
      <c r="J174" s="12" t="s">
        <v>378</v>
      </c>
    </row>
    <row r="175" spans="1:10" s="12" customFormat="1" ht="50.25" customHeight="1" x14ac:dyDescent="0.2">
      <c r="A175" s="32">
        <v>24</v>
      </c>
      <c r="B175" s="22" t="s">
        <v>285</v>
      </c>
      <c r="C175" s="10" t="s">
        <v>287</v>
      </c>
      <c r="D175" s="22" t="s">
        <v>286</v>
      </c>
      <c r="E175" s="24" t="s">
        <v>6</v>
      </c>
      <c r="F175" s="31">
        <v>1</v>
      </c>
      <c r="G175" s="30">
        <v>3776780</v>
      </c>
      <c r="H175" s="11">
        <f t="shared" si="10"/>
        <v>3776780</v>
      </c>
      <c r="I175" s="31" t="s">
        <v>44</v>
      </c>
      <c r="J175" s="12" t="s">
        <v>379</v>
      </c>
    </row>
    <row r="176" spans="1:10" s="12" customFormat="1" ht="51.75" customHeight="1" x14ac:dyDescent="0.2">
      <c r="A176" s="32">
        <v>25</v>
      </c>
      <c r="B176" s="22" t="s">
        <v>30</v>
      </c>
      <c r="C176" s="10" t="s">
        <v>53</v>
      </c>
      <c r="D176" s="22" t="s">
        <v>288</v>
      </c>
      <c r="E176" s="24" t="s">
        <v>6</v>
      </c>
      <c r="F176" s="31">
        <v>1</v>
      </c>
      <c r="G176" s="30">
        <v>1944000</v>
      </c>
      <c r="H176" s="11">
        <f t="shared" si="10"/>
        <v>1944000</v>
      </c>
      <c r="I176" s="31" t="s">
        <v>44</v>
      </c>
      <c r="J176" s="12" t="s">
        <v>380</v>
      </c>
    </row>
    <row r="177" spans="1:10" s="12" customFormat="1" ht="66.75" customHeight="1" x14ac:dyDescent="0.2">
      <c r="A177" s="32">
        <v>26</v>
      </c>
      <c r="B177" s="22" t="s">
        <v>290</v>
      </c>
      <c r="C177" s="10" t="s">
        <v>1</v>
      </c>
      <c r="D177" s="22" t="s">
        <v>291</v>
      </c>
      <c r="E177" s="24" t="s">
        <v>6</v>
      </c>
      <c r="F177" s="31">
        <v>1</v>
      </c>
      <c r="G177" s="30">
        <v>2116104</v>
      </c>
      <c r="H177" s="11">
        <f t="shared" si="10"/>
        <v>2116104</v>
      </c>
      <c r="I177" s="31" t="s">
        <v>44</v>
      </c>
      <c r="J177" s="12" t="s">
        <v>380</v>
      </c>
    </row>
    <row r="178" spans="1:10" s="12" customFormat="1" ht="52.5" customHeight="1" x14ac:dyDescent="0.2">
      <c r="A178" s="32">
        <v>27</v>
      </c>
      <c r="B178" s="22" t="s">
        <v>46</v>
      </c>
      <c r="C178" s="10" t="s">
        <v>53</v>
      </c>
      <c r="D178" s="22" t="s">
        <v>289</v>
      </c>
      <c r="E178" s="24" t="s">
        <v>6</v>
      </c>
      <c r="F178" s="31">
        <v>1</v>
      </c>
      <c r="G178" s="30">
        <v>50000</v>
      </c>
      <c r="H178" s="11">
        <f t="shared" si="10"/>
        <v>50000</v>
      </c>
      <c r="I178" s="31" t="s">
        <v>44</v>
      </c>
      <c r="J178" s="12" t="s">
        <v>380</v>
      </c>
    </row>
    <row r="179" spans="1:10" s="12" customFormat="1" ht="50.25" customHeight="1" x14ac:dyDescent="0.2">
      <c r="A179" s="32">
        <v>28</v>
      </c>
      <c r="B179" s="22" t="s">
        <v>292</v>
      </c>
      <c r="C179" s="10" t="s">
        <v>52</v>
      </c>
      <c r="D179" s="22" t="s">
        <v>292</v>
      </c>
      <c r="E179" s="24" t="s">
        <v>48</v>
      </c>
      <c r="F179" s="31">
        <v>1</v>
      </c>
      <c r="G179" s="30">
        <v>16656</v>
      </c>
      <c r="H179" s="11">
        <f t="shared" si="10"/>
        <v>16656</v>
      </c>
      <c r="I179" s="31" t="s">
        <v>44</v>
      </c>
      <c r="J179" s="12" t="s">
        <v>381</v>
      </c>
    </row>
    <row r="180" spans="1:10" s="12" customFormat="1" ht="50.25" customHeight="1" x14ac:dyDescent="0.2">
      <c r="A180" s="32">
        <v>29</v>
      </c>
      <c r="B180" s="22" t="s">
        <v>293</v>
      </c>
      <c r="C180" s="10" t="s">
        <v>52</v>
      </c>
      <c r="D180" s="22" t="s">
        <v>293</v>
      </c>
      <c r="E180" s="24" t="s">
        <v>48</v>
      </c>
      <c r="F180" s="31">
        <v>1</v>
      </c>
      <c r="G180" s="30">
        <v>15226</v>
      </c>
      <c r="H180" s="11">
        <f t="shared" si="10"/>
        <v>15226</v>
      </c>
      <c r="I180" s="31" t="s">
        <v>44</v>
      </c>
      <c r="J180" s="12" t="s">
        <v>381</v>
      </c>
    </row>
    <row r="181" spans="1:10" s="12" customFormat="1" ht="50.25" customHeight="1" x14ac:dyDescent="0.2">
      <c r="A181" s="32">
        <v>30</v>
      </c>
      <c r="B181" s="22" t="s">
        <v>294</v>
      </c>
      <c r="C181" s="10" t="s">
        <v>52</v>
      </c>
      <c r="D181" s="22" t="s">
        <v>294</v>
      </c>
      <c r="E181" s="24" t="s">
        <v>48</v>
      </c>
      <c r="F181" s="31">
        <v>1</v>
      </c>
      <c r="G181" s="30">
        <v>9044</v>
      </c>
      <c r="H181" s="11">
        <f t="shared" si="10"/>
        <v>9044</v>
      </c>
      <c r="I181" s="31" t="s">
        <v>44</v>
      </c>
      <c r="J181" s="12" t="s">
        <v>381</v>
      </c>
    </row>
    <row r="182" spans="1:10" s="12" customFormat="1" ht="50.25" customHeight="1" x14ac:dyDescent="0.2">
      <c r="A182" s="32">
        <v>31</v>
      </c>
      <c r="B182" s="22" t="s">
        <v>47</v>
      </c>
      <c r="C182" s="10" t="s">
        <v>52</v>
      </c>
      <c r="D182" s="22" t="s">
        <v>47</v>
      </c>
      <c r="E182" s="24" t="s">
        <v>295</v>
      </c>
      <c r="F182" s="31">
        <v>1</v>
      </c>
      <c r="G182" s="30">
        <v>420000</v>
      </c>
      <c r="H182" s="11">
        <f t="shared" si="10"/>
        <v>420000</v>
      </c>
      <c r="I182" s="31" t="s">
        <v>44</v>
      </c>
      <c r="J182" s="12" t="s">
        <v>381</v>
      </c>
    </row>
    <row r="183" spans="1:10" s="12" customFormat="1" ht="47.25" customHeight="1" x14ac:dyDescent="0.2">
      <c r="A183" s="32">
        <v>32</v>
      </c>
      <c r="B183" s="22" t="s">
        <v>42</v>
      </c>
      <c r="C183" s="10" t="s">
        <v>55</v>
      </c>
      <c r="D183" s="22" t="s">
        <v>42</v>
      </c>
      <c r="E183" s="24" t="s">
        <v>6</v>
      </c>
      <c r="F183" s="31">
        <v>1</v>
      </c>
      <c r="G183" s="30">
        <f>967403+566197</f>
        <v>1533600</v>
      </c>
      <c r="H183" s="11">
        <f t="shared" si="10"/>
        <v>1533600</v>
      </c>
      <c r="I183" s="31" t="s">
        <v>44</v>
      </c>
      <c r="J183" s="12" t="s">
        <v>381</v>
      </c>
    </row>
    <row r="184" spans="1:10" s="12" customFormat="1" ht="50.25" customHeight="1" x14ac:dyDescent="0.2">
      <c r="A184" s="32">
        <v>33</v>
      </c>
      <c r="B184" s="22" t="s">
        <v>41</v>
      </c>
      <c r="C184" s="10" t="s">
        <v>52</v>
      </c>
      <c r="D184" s="22" t="s">
        <v>41</v>
      </c>
      <c r="E184" s="24" t="s">
        <v>48</v>
      </c>
      <c r="F184" s="31">
        <v>1</v>
      </c>
      <c r="G184" s="30">
        <v>10378</v>
      </c>
      <c r="H184" s="11">
        <f t="shared" si="10"/>
        <v>10378</v>
      </c>
      <c r="I184" s="31" t="s">
        <v>44</v>
      </c>
      <c r="J184" s="12" t="s">
        <v>381</v>
      </c>
    </row>
    <row r="185" spans="1:10" s="12" customFormat="1" ht="45.75" customHeight="1" x14ac:dyDescent="0.2">
      <c r="A185" s="32">
        <v>34</v>
      </c>
      <c r="B185" s="22" t="s">
        <v>296</v>
      </c>
      <c r="C185" s="10" t="s">
        <v>52</v>
      </c>
      <c r="D185" s="22" t="s">
        <v>296</v>
      </c>
      <c r="E185" s="24" t="s">
        <v>48</v>
      </c>
      <c r="F185" s="31">
        <v>1</v>
      </c>
      <c r="G185" s="11">
        <v>80655</v>
      </c>
      <c r="H185" s="11">
        <f t="shared" si="10"/>
        <v>80655</v>
      </c>
      <c r="I185" s="31" t="s">
        <v>44</v>
      </c>
      <c r="J185" s="12" t="s">
        <v>381</v>
      </c>
    </row>
    <row r="186" spans="1:10" s="12" customFormat="1" ht="23.25" customHeight="1" x14ac:dyDescent="0.2">
      <c r="A186" s="60" t="s">
        <v>4</v>
      </c>
      <c r="B186" s="63"/>
      <c r="C186" s="64"/>
      <c r="D186" s="36"/>
      <c r="E186" s="36"/>
      <c r="F186" s="36"/>
      <c r="G186" s="36"/>
      <c r="H186" s="23">
        <f>SUM(H152:H185)</f>
        <v>54557686.571428567</v>
      </c>
      <c r="I186" s="36"/>
    </row>
    <row r="187" spans="1:10" s="12" customFormat="1" ht="23.25" customHeight="1" x14ac:dyDescent="0.2">
      <c r="A187" s="60" t="s">
        <v>5</v>
      </c>
      <c r="B187" s="63"/>
      <c r="C187" s="64"/>
      <c r="D187" s="36"/>
      <c r="E187" s="36"/>
      <c r="F187" s="36"/>
      <c r="G187" s="36"/>
      <c r="H187" s="23">
        <f>H186+H150</f>
        <v>149902851.84962857</v>
      </c>
      <c r="I187" s="36"/>
    </row>
    <row r="188" spans="1:10" ht="21" customHeight="1" x14ac:dyDescent="0.2">
      <c r="A188" s="51"/>
      <c r="B188" s="51"/>
      <c r="C188" s="51"/>
      <c r="D188" s="51"/>
      <c r="E188" s="51"/>
      <c r="F188" s="51"/>
      <c r="G188" s="51"/>
      <c r="H188" s="51"/>
      <c r="I188" s="51"/>
    </row>
    <row r="189" spans="1:10" ht="45.75" customHeight="1" x14ac:dyDescent="0.2">
      <c r="A189" s="19"/>
      <c r="B189" s="20"/>
      <c r="C189" s="20"/>
      <c r="D189" s="20"/>
      <c r="E189" s="20"/>
      <c r="F189" s="20"/>
      <c r="G189" s="21"/>
      <c r="H189" s="21"/>
      <c r="I189" s="6"/>
    </row>
    <row r="190" spans="1:10" ht="8.25" customHeight="1" x14ac:dyDescent="0.2"/>
    <row r="191" spans="1:10" ht="12.75" x14ac:dyDescent="0.2"/>
    <row r="192" spans="1:10" ht="12.75" x14ac:dyDescent="0.2">
      <c r="G192" s="33"/>
      <c r="H192" s="34"/>
    </row>
    <row r="193" spans="7:9" ht="12.75" x14ac:dyDescent="0.2">
      <c r="G193" s="33"/>
      <c r="H193" s="34"/>
    </row>
    <row r="194" spans="7:9" ht="12.75" x14ac:dyDescent="0.2">
      <c r="G194" s="33"/>
      <c r="H194" s="34"/>
    </row>
    <row r="195" spans="7:9" ht="12.75" x14ac:dyDescent="0.2">
      <c r="G195" s="33"/>
      <c r="H195" s="34"/>
      <c r="I195" s="16"/>
    </row>
    <row r="196" spans="7:9" ht="12.75" x14ac:dyDescent="0.2">
      <c r="G196" s="33"/>
      <c r="H196" s="34"/>
      <c r="I196" s="17"/>
    </row>
    <row r="197" spans="7:9" ht="12.75" x14ac:dyDescent="0.2">
      <c r="G197" s="33"/>
      <c r="H197" s="34"/>
      <c r="I197" s="16"/>
    </row>
    <row r="198" spans="7:9" ht="12.75" x14ac:dyDescent="0.2">
      <c r="G198" s="33"/>
      <c r="H198" s="34"/>
      <c r="I198" s="17"/>
    </row>
    <row r="199" spans="7:9" ht="12.75" x14ac:dyDescent="0.2">
      <c r="G199" s="33"/>
      <c r="H199" s="34"/>
      <c r="I199" s="17"/>
    </row>
    <row r="200" spans="7:9" ht="12.75" x14ac:dyDescent="0.2">
      <c r="G200" s="33"/>
      <c r="H200" s="34"/>
      <c r="I200" s="17"/>
    </row>
    <row r="201" spans="7:9" ht="12.75" x14ac:dyDescent="0.2">
      <c r="G201" s="33"/>
      <c r="H201" s="34"/>
      <c r="I201" s="17"/>
    </row>
    <row r="202" spans="7:9" ht="12.75" x14ac:dyDescent="0.2">
      <c r="G202" s="33"/>
      <c r="H202" s="34"/>
      <c r="I202" s="17"/>
    </row>
    <row r="203" spans="7:9" ht="12.75" x14ac:dyDescent="0.2">
      <c r="G203" s="33"/>
      <c r="H203" s="34"/>
      <c r="I203" s="17"/>
    </row>
    <row r="204" spans="7:9" ht="12.75" x14ac:dyDescent="0.2">
      <c r="G204" s="33"/>
      <c r="H204" s="34"/>
      <c r="I204" s="17"/>
    </row>
    <row r="205" spans="7:9" ht="12.75" x14ac:dyDescent="0.2">
      <c r="G205" s="33"/>
      <c r="H205" s="34"/>
      <c r="I205" s="17"/>
    </row>
    <row r="206" spans="7:9" ht="12.75" x14ac:dyDescent="0.2">
      <c r="G206" s="33"/>
      <c r="H206" s="34"/>
      <c r="I206" s="17"/>
    </row>
    <row r="207" spans="7:9" ht="12.75" x14ac:dyDescent="0.2">
      <c r="G207" s="33"/>
      <c r="H207" s="34"/>
      <c r="I207" s="17"/>
    </row>
    <row r="208" spans="7:9" ht="12.75" x14ac:dyDescent="0.2">
      <c r="G208" s="33"/>
      <c r="H208" s="34"/>
      <c r="I208" s="17"/>
    </row>
    <row r="209" spans="1:9" ht="12.75" x14ac:dyDescent="0.2">
      <c r="G209" s="33"/>
      <c r="H209" s="34"/>
      <c r="I209" s="17"/>
    </row>
    <row r="210" spans="1:9" ht="12.75" x14ac:dyDescent="0.2">
      <c r="G210" s="33"/>
      <c r="H210" s="34"/>
      <c r="I210" s="17"/>
    </row>
    <row r="211" spans="1:9" ht="12.75" x14ac:dyDescent="0.2">
      <c r="G211" s="33"/>
      <c r="H211" s="34"/>
      <c r="I211" s="17"/>
    </row>
    <row r="212" spans="1:9" ht="12.75" x14ac:dyDescent="0.2">
      <c r="G212" s="33"/>
      <c r="H212" s="34"/>
      <c r="I212" s="17"/>
    </row>
    <row r="213" spans="1:9" ht="12.75" x14ac:dyDescent="0.2">
      <c r="G213" s="33"/>
      <c r="H213" s="34"/>
      <c r="I213" s="17"/>
    </row>
    <row r="214" spans="1:9" ht="12.75" x14ac:dyDescent="0.2">
      <c r="G214" s="33"/>
      <c r="H214" s="34"/>
      <c r="I214" s="17"/>
    </row>
    <row r="215" spans="1:9" ht="12.75" x14ac:dyDescent="0.2">
      <c r="G215" s="33"/>
      <c r="H215" s="34"/>
      <c r="I215" s="17"/>
    </row>
    <row r="216" spans="1:9" ht="12.75" x14ac:dyDescent="0.2">
      <c r="G216" s="35"/>
      <c r="H216" s="34"/>
      <c r="I216" s="17"/>
    </row>
    <row r="217" spans="1:9" ht="12.75" x14ac:dyDescent="0.2">
      <c r="G217" s="33"/>
      <c r="H217" s="34"/>
      <c r="I217" s="17"/>
    </row>
    <row r="218" spans="1:9" s="18" customFormat="1" ht="18" customHeight="1" x14ac:dyDescent="0.25">
      <c r="A218" s="5"/>
      <c r="B218" s="7"/>
      <c r="C218" s="7"/>
      <c r="D218" s="7"/>
      <c r="E218" s="7"/>
      <c r="F218" s="8"/>
      <c r="G218" s="9"/>
      <c r="H218" s="34"/>
      <c r="I218" s="16"/>
    </row>
    <row r="219" spans="1:9" s="18" customFormat="1" ht="18" customHeight="1" x14ac:dyDescent="0.25">
      <c r="A219" s="5"/>
      <c r="B219" s="7"/>
      <c r="C219" s="7"/>
      <c r="D219" s="7"/>
      <c r="E219" s="7"/>
      <c r="F219" s="8"/>
      <c r="G219" s="35"/>
      <c r="H219" s="34"/>
      <c r="I219" s="16"/>
    </row>
    <row r="220" spans="1:9" ht="18" customHeight="1" x14ac:dyDescent="0.2">
      <c r="G220" s="33"/>
      <c r="H220" s="34"/>
      <c r="I220" s="16"/>
    </row>
    <row r="221" spans="1:9" ht="18" customHeight="1" x14ac:dyDescent="0.2">
      <c r="H221" s="34"/>
      <c r="I221" s="16"/>
    </row>
    <row r="222" spans="1:9" ht="18" customHeight="1" x14ac:dyDescent="0.2">
      <c r="H222" s="34"/>
      <c r="I222" s="16"/>
    </row>
    <row r="223" spans="1:9" ht="18" customHeight="1" x14ac:dyDescent="0.2">
      <c r="I223" s="16"/>
    </row>
    <row r="224" spans="1:9" ht="18" customHeight="1" x14ac:dyDescent="0.2">
      <c r="H224" s="34"/>
      <c r="I224" s="16"/>
    </row>
    <row r="225" spans="8:9" ht="18" customHeight="1" x14ac:dyDescent="0.2">
      <c r="H225" s="34"/>
      <c r="I225" s="16"/>
    </row>
    <row r="226" spans="8:9" ht="18" customHeight="1" x14ac:dyDescent="0.2">
      <c r="H226" s="34"/>
    </row>
    <row r="227" spans="8:9" ht="18" customHeight="1" x14ac:dyDescent="0.2">
      <c r="H227" s="34"/>
    </row>
  </sheetData>
  <autoFilter ref="A7:IS215"/>
  <mergeCells count="19">
    <mergeCell ref="G1:I1"/>
    <mergeCell ref="I6:I7"/>
    <mergeCell ref="A4:H4"/>
    <mergeCell ref="H6:H7"/>
    <mergeCell ref="A3:H3"/>
    <mergeCell ref="A6:A7"/>
    <mergeCell ref="B6:B7"/>
    <mergeCell ref="C6:C7"/>
    <mergeCell ref="D6:D7"/>
    <mergeCell ref="G6:G7"/>
    <mergeCell ref="E6:E7"/>
    <mergeCell ref="F6:F7"/>
    <mergeCell ref="A188:I188"/>
    <mergeCell ref="A9:I9"/>
    <mergeCell ref="A10:I10"/>
    <mergeCell ref="A150:G150"/>
    <mergeCell ref="A151:I151"/>
    <mergeCell ref="A187:C187"/>
    <mergeCell ref="A186:C186"/>
  </mergeCells>
  <phoneticPr fontId="39" type="noConversion"/>
  <pageMargins left="0.25" right="0.25" top="0.75" bottom="0.75" header="0.3" footer="0.3"/>
  <pageSetup paperSize="9" scale="6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1" sqref="B11"/>
    </sheetView>
  </sheetViews>
  <sheetFormatPr defaultRowHeight="12.75" x14ac:dyDescent="0.2"/>
  <cols>
    <col min="1" max="1" width="11.33203125" customWidth="1"/>
  </cols>
  <sheetData/>
  <phoneticPr fontId="39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User 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Aigul</dc:creator>
  <cp:lastModifiedBy>Мырза Дуйсен</cp:lastModifiedBy>
  <cp:lastPrinted>2018-12-24T04:17:24Z</cp:lastPrinted>
  <dcterms:created xsi:type="dcterms:W3CDTF">2011-09-05T16:23:55Z</dcterms:created>
  <dcterms:modified xsi:type="dcterms:W3CDTF">2018-12-26T05:41:16Z</dcterms:modified>
</cp:coreProperties>
</file>