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70" yWindow="90" windowWidth="19410" windowHeight="12735" firstSheet="1" activeTab="1"/>
  </bookViews>
  <sheets>
    <sheet name="Реестр ТРУ портал август 2015" sheetId="2" r:id="rId1"/>
    <sheet name="Реестр ТРУ ноябрь 2016" sheetId="3" r:id="rId2"/>
  </sheets>
  <definedNames>
    <definedName name="_xlnm.Print_Area" localSheetId="0">'Реестр ТРУ портал август 2015'!$A$1:$J$123</definedName>
  </definedNames>
  <calcPr calcId="145621"/>
</workbook>
</file>

<file path=xl/calcChain.xml><?xml version="1.0" encoding="utf-8"?>
<calcChain xmlns="http://schemas.openxmlformats.org/spreadsheetml/2006/main">
  <c r="I44" i="3" l="1"/>
  <c r="I29" i="3"/>
  <c r="I30" i="3"/>
  <c r="I31" i="3"/>
  <c r="I32" i="3"/>
  <c r="I33" i="3"/>
  <c r="I34" i="3"/>
  <c r="I35" i="3"/>
  <c r="I36" i="3"/>
  <c r="I37" i="3"/>
  <c r="I38" i="3"/>
  <c r="I39" i="3"/>
  <c r="I40" i="3"/>
  <c r="I28" i="3" l="1"/>
  <c r="H22" i="3"/>
  <c r="I22" i="3" s="1"/>
  <c r="H21" i="3"/>
  <c r="I21" i="3" s="1"/>
  <c r="H20" i="3"/>
  <c r="I20" i="3" s="1"/>
  <c r="H19" i="3"/>
  <c r="I19" i="3" s="1"/>
  <c r="H18" i="3"/>
  <c r="I18" i="3" s="1"/>
  <c r="H17" i="3"/>
  <c r="I17" i="3" s="1"/>
  <c r="H16" i="3"/>
  <c r="I16" i="3" s="1"/>
  <c r="H15" i="3"/>
  <c r="I15" i="3" s="1"/>
  <c r="H14" i="3"/>
  <c r="I14" i="3" s="1"/>
  <c r="H13" i="3"/>
  <c r="I13" i="3" s="1"/>
  <c r="H12" i="3"/>
  <c r="I12" i="3" s="1"/>
  <c r="H11" i="3"/>
  <c r="I11" i="3" s="1"/>
  <c r="H10" i="3"/>
  <c r="I10" i="3" s="1"/>
  <c r="H9" i="3"/>
  <c r="I9" i="3" s="1"/>
  <c r="H8" i="3"/>
  <c r="I8" i="3" s="1"/>
  <c r="I23" i="3" l="1"/>
  <c r="I112" i="2" l="1"/>
  <c r="H109" i="2" l="1"/>
  <c r="H105" i="2"/>
  <c r="H100" i="2"/>
  <c r="I94" i="2"/>
  <c r="H92" i="2"/>
  <c r="I92" i="2" s="1"/>
  <c r="H91" i="2"/>
  <c r="I91" i="2" s="1"/>
  <c r="H90" i="2"/>
  <c r="I90" i="2" s="1"/>
  <c r="H89" i="2"/>
  <c r="I89" i="2" s="1"/>
  <c r="H88" i="2"/>
  <c r="I88" i="2" s="1"/>
  <c r="H87" i="2"/>
  <c r="I87" i="2" s="1"/>
  <c r="H86" i="2"/>
  <c r="I86" i="2" s="1"/>
  <c r="H85" i="2"/>
  <c r="I85" i="2" s="1"/>
  <c r="H84" i="2"/>
  <c r="I84" i="2" s="1"/>
  <c r="H83" i="2"/>
  <c r="I83" i="2" s="1"/>
  <c r="H82" i="2"/>
  <c r="I82" i="2" s="1"/>
  <c r="H81" i="2"/>
  <c r="I81" i="2" s="1"/>
  <c r="H80" i="2"/>
  <c r="I80" i="2" s="1"/>
  <c r="H79" i="2"/>
  <c r="I79" i="2" s="1"/>
  <c r="H78" i="2"/>
  <c r="I78" i="2" s="1"/>
  <c r="H77" i="2"/>
  <c r="I77" i="2" s="1"/>
  <c r="H76" i="2"/>
  <c r="I76" i="2" s="1"/>
  <c r="H75" i="2"/>
  <c r="I75" i="2" s="1"/>
  <c r="H74" i="2"/>
  <c r="I74" i="2" s="1"/>
  <c r="H73" i="2"/>
  <c r="I73" i="2" s="1"/>
  <c r="H72" i="2"/>
  <c r="I72" i="2" s="1"/>
  <c r="H71" i="2"/>
  <c r="I71" i="2" s="1"/>
  <c r="H70" i="2"/>
  <c r="I70" i="2" s="1"/>
  <c r="H69" i="2"/>
  <c r="I69" i="2" s="1"/>
  <c r="H68" i="2"/>
  <c r="I68" i="2" s="1"/>
  <c r="H67" i="2"/>
  <c r="I67" i="2" s="1"/>
  <c r="H66" i="2"/>
  <c r="I66" i="2" s="1"/>
  <c r="H65" i="2"/>
  <c r="I65" i="2" s="1"/>
  <c r="H64" i="2"/>
  <c r="I64" i="2" s="1"/>
  <c r="H63" i="2"/>
  <c r="I63" i="2" s="1"/>
  <c r="H62" i="2"/>
  <c r="I62" i="2" s="1"/>
  <c r="H61" i="2"/>
  <c r="I61" i="2" s="1"/>
  <c r="H60" i="2"/>
  <c r="I60" i="2" s="1"/>
  <c r="H59" i="2"/>
  <c r="I59" i="2" s="1"/>
  <c r="H58" i="2"/>
  <c r="I58" i="2" s="1"/>
  <c r="H57" i="2"/>
  <c r="I57" i="2" s="1"/>
  <c r="H56" i="2"/>
  <c r="I56" i="2" s="1"/>
  <c r="H55" i="2"/>
  <c r="I55" i="2" s="1"/>
  <c r="H54" i="2"/>
  <c r="I54" i="2" s="1"/>
  <c r="H53" i="2"/>
  <c r="I53" i="2" s="1"/>
  <c r="H52" i="2"/>
  <c r="I52" i="2" s="1"/>
  <c r="H51" i="2"/>
  <c r="I51" i="2" s="1"/>
  <c r="H50" i="2"/>
  <c r="I50" i="2" s="1"/>
  <c r="H49" i="2"/>
  <c r="I49" i="2" s="1"/>
  <c r="H48" i="2"/>
  <c r="I48" i="2" s="1"/>
  <c r="H47" i="2"/>
  <c r="I47" i="2" s="1"/>
  <c r="H46" i="2"/>
  <c r="I46" i="2" s="1"/>
  <c r="H45" i="2"/>
  <c r="I45" i="2" s="1"/>
  <c r="H44" i="2"/>
  <c r="I44" i="2" s="1"/>
  <c r="H43" i="2"/>
  <c r="I43" i="2" s="1"/>
  <c r="H42" i="2"/>
  <c r="I42" i="2" s="1"/>
  <c r="H41" i="2"/>
  <c r="I41" i="2" s="1"/>
  <c r="H40" i="2"/>
  <c r="I40" i="2" s="1"/>
  <c r="H39" i="2"/>
  <c r="I39" i="2" s="1"/>
  <c r="H38" i="2"/>
  <c r="I38" i="2" s="1"/>
  <c r="H37" i="2"/>
  <c r="I37" i="2" s="1"/>
  <c r="H36" i="2"/>
  <c r="I36" i="2" s="1"/>
  <c r="H35" i="2"/>
  <c r="I35" i="2" s="1"/>
  <c r="H34" i="2"/>
  <c r="I34" i="2" s="1"/>
  <c r="H33" i="2"/>
  <c r="I33" i="2" s="1"/>
  <c r="H32" i="2"/>
  <c r="I32" i="2" s="1"/>
  <c r="H31" i="2"/>
  <c r="I31" i="2" s="1"/>
  <c r="H30" i="2"/>
  <c r="I30" i="2" s="1"/>
  <c r="H29" i="2"/>
  <c r="I29" i="2" s="1"/>
  <c r="H28" i="2"/>
  <c r="I28" i="2" s="1"/>
  <c r="H27" i="2"/>
  <c r="I27" i="2" s="1"/>
  <c r="H26" i="2"/>
  <c r="I26" i="2" s="1"/>
  <c r="H25" i="2"/>
  <c r="I25" i="2" s="1"/>
  <c r="H24" i="2"/>
  <c r="I24" i="2" s="1"/>
  <c r="H23" i="2"/>
  <c r="I23" i="2" s="1"/>
  <c r="H22" i="2"/>
  <c r="I22" i="2" s="1"/>
  <c r="H21" i="2"/>
  <c r="I21" i="2" s="1"/>
  <c r="H20" i="2"/>
  <c r="I20" i="2" s="1"/>
  <c r="H19" i="2"/>
  <c r="I19" i="2" s="1"/>
  <c r="H18" i="2"/>
  <c r="I18" i="2" s="1"/>
  <c r="H17" i="2"/>
  <c r="I17" i="2" s="1"/>
  <c r="H16" i="2"/>
  <c r="I16" i="2" s="1"/>
  <c r="H15" i="2"/>
  <c r="I15" i="2" s="1"/>
  <c r="H14" i="2"/>
  <c r="I14" i="2" s="1"/>
  <c r="H13" i="2"/>
  <c r="I13" i="2" s="1"/>
  <c r="H12" i="2"/>
  <c r="I12" i="2" s="1"/>
  <c r="H11" i="2"/>
  <c r="I11" i="2" s="1"/>
  <c r="H10" i="2"/>
  <c r="I10" i="2" s="1"/>
  <c r="H9" i="2"/>
  <c r="I9" i="2" s="1"/>
  <c r="I95" i="2" l="1"/>
  <c r="I113" i="2" s="1"/>
  <c r="I45" i="3"/>
</calcChain>
</file>

<file path=xl/sharedStrings.xml><?xml version="1.0" encoding="utf-8"?>
<sst xmlns="http://schemas.openxmlformats.org/spreadsheetml/2006/main" count="598" uniqueCount="289">
  <si>
    <t xml:space="preserve">Реестр планируемых закупок товаров, работ, услуг на 2015 год </t>
  </si>
  <si>
    <t>корпоративного фонда «Фонд социального развития»</t>
  </si>
  <si>
    <t>№</t>
  </si>
  <si>
    <t>Наименование</t>
  </si>
  <si>
    <t>Способ закупок/ п.3.1. Правил</t>
  </si>
  <si>
    <t>Краткая характеристика</t>
  </si>
  <si>
    <t>Количество/ объем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</si>
  <si>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</si>
  <si>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</si>
  <si>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</si>
  <si>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Товары</t>
  </si>
  <si>
    <t>Визитки</t>
  </si>
  <si>
    <t>Запрос ценовых предложений</t>
  </si>
  <si>
    <t>Формат визитной карточки 90х50 мм. Печатается на белой бумаге - Colotech, допускается фактурная бумага. Визитка двухсторонняя: казахский (русский) + английский языки. Печать-офсет 5+5. Матовая ламинация. Цвет и формат корпоративного логотипа не могут быть изменены.</t>
  </si>
  <si>
    <t>штука</t>
  </si>
  <si>
    <t>Фирменные бланки</t>
  </si>
  <si>
    <t>Фирменные бланки односторонние, на белой бумаге плотностью не менее 120 гр. Озон.  Офсетная печать. Логотип, адрес, нумерация бланков 5+0</t>
  </si>
  <si>
    <t>Буклеты для спонсоров А5 в готовом виде одного вида - информационные материалы для спонсоров (универсальные)</t>
  </si>
  <si>
    <t>Печать офсетная 5+5 с использованием 1 пантона бронза.
Обложка: плотность 250 гр., меловка, матовая ламинация обложки 1+0, выборочный УФ-лак (песок\глитер) тиснение, изготовление клише, внутренние страницы 150гр. Глянец,  печать офсетная с вд лаком, 5+5, крепление: 2 скобы. 5 бигов, 5 фальцев</t>
  </si>
  <si>
    <t>Буклеты формата А5 - информационные материалы для спонсоров по целевым программам</t>
  </si>
  <si>
    <t>20 стр. с обложкой. Печать офсетная 5+5 с использованием 1 пантона бронза. Обложка: плотность 250 гр., меловка, матовая ламинация обложки 1+0, выборочный УФ-лак (песок\глитер) тиснение, изготовление клише, внутренние страницы плотностью  150 гр. Глянец,  печать офсетная с вд лаком, 5+5, крепление: 2 скобы. 5 бигов, 5 фальцев</t>
  </si>
  <si>
    <t>Сертификаты признания</t>
  </si>
  <si>
    <t>Печать – офсет, формат А4 (под рамочку), тиснение, печать одного вида. Бумага: 300-350гр. Сирио – перламутр белый/жемчуг</t>
  </si>
  <si>
    <t>Папки формата А5 (4 вида)</t>
  </si>
  <si>
    <t>Печать офсетная 5+0, Бумага мелованая, 300 гр. УФ лак выборочно (песок/глитер), матовая ламинация, с вертикальным карманом и высечкой для визитки, размер кармана8,5*22см. Тиснение золотом. Изготовление клише, изготовление ножа.</t>
  </si>
  <si>
    <t>Питьевая вода для диспенсера</t>
  </si>
  <si>
    <t>Экологически чистая бутилированная питьевая вода для диспенсеров. Система предварительной очистки - не менее 7 сту-пеней фильтрации. Обязателен сертификат качества на питьевую воду. Материал тары – поликарбонат, вместительность 19 литров (+/- 1 л.). В стоимость Товара должна входить доставка и разгрузка.</t>
  </si>
  <si>
    <t>бутыль</t>
  </si>
  <si>
    <t>Антистеплер</t>
  </si>
  <si>
    <t xml:space="preserve">Приспособление для удаления скоб с металлическим механизмом и пластиковыми ручками, с кнопкой блокировки.
</t>
  </si>
  <si>
    <t>Бумага - А4, 80 г.</t>
  </si>
  <si>
    <t xml:space="preserve">Офисная бумага формата А4, плотность 80 г/м2, 500 листов в пачке, белизна по CIE 143%, С класс.
</t>
  </si>
  <si>
    <t>пачка</t>
  </si>
  <si>
    <t>Бумага - А4, 90 г.</t>
  </si>
  <si>
    <t>Офисная бумага формата А4, плотность 90 г/м2, гладкая, меловая, 500 листов в пачке.</t>
  </si>
  <si>
    <t>Бумага для заметок - 51х76 мм</t>
  </si>
  <si>
    <t xml:space="preserve">С клеевым краем, размер 51х76 мм, цвета разноцветные неоновые. 
</t>
  </si>
  <si>
    <t>Бумага для заметок - 38х51 мм</t>
  </si>
  <si>
    <t xml:space="preserve">С клеевым краем, размер 38х51 мм, в пачке 4 неоновых цвета.
</t>
  </si>
  <si>
    <t>Бумага для заметок - 76х76 мм</t>
  </si>
  <si>
    <t xml:space="preserve">С клеевым краем, размер 76х76 мм, цвета разноцветные пастельные. 
</t>
  </si>
  <si>
    <t>Бумага цветная - А4, 80 г.</t>
  </si>
  <si>
    <t xml:space="preserve">Бумага офисная формат А4, плотность 80 г/м2, 200 листов, 4 Неоновых цвета по 50 листов каждого.
</t>
  </si>
  <si>
    <t>Вставка - скоросшиватель</t>
  </si>
  <si>
    <t>Пластиковая вставка-скоросшиватель с перфорацией и зажимом. Размер 35х150 мм. Используется для расширения емкости папки.
Цвет ассорти.</t>
  </si>
  <si>
    <t>Губка</t>
  </si>
  <si>
    <t xml:space="preserve">Губка для маркерной доски, размер 65*150мм, упаковка с европодвесом
</t>
  </si>
  <si>
    <t>Дырокол - 10л</t>
  </si>
  <si>
    <t xml:space="preserve">Дырокол малый, металлический, на 10 л., с линейкой и  антискользящим покрытием, с фиксатором закрытого положения. </t>
  </si>
  <si>
    <t>Дырокол - 20л</t>
  </si>
  <si>
    <t xml:space="preserve">Дырокол средний, металлический, на 20 л., с линейкой и  антискользящим покрытием, с фиксатором закрытого положения. 
</t>
  </si>
  <si>
    <t xml:space="preserve">Дырокол - 60л </t>
  </si>
  <si>
    <t xml:space="preserve">Дырокол большой, металлический, на 60 л., с линейкой и  антискользящим покрытием, с фиксатором закрытого положения. 
</t>
  </si>
  <si>
    <t xml:space="preserve">Ежедневник </t>
  </si>
  <si>
    <t xml:space="preserve">Ежедневник A5 320 стр. недатированный, офсет, твердая обложка черного цвета, плотность бумаги 65 г/м2
</t>
  </si>
  <si>
    <t>Зажим - 15мм</t>
  </si>
  <si>
    <t xml:space="preserve">Зажимы для бумаг,  размер 15 мм. Изготовлены из высококачественной стали, цвет черный, в карт./пласт. коробке по 12 шт
</t>
  </si>
  <si>
    <t>коробка</t>
  </si>
  <si>
    <t>Зажим - 19мм</t>
  </si>
  <si>
    <t xml:space="preserve">Зажимы для бумаг,  размер 19 мм. Изготовлены из высококачественной стали, цвет черный, в карт./пласт. коробке по 12 шт
</t>
  </si>
  <si>
    <t>Зажим - 32мм</t>
  </si>
  <si>
    <t xml:space="preserve">Зажимы для бумаг,  размер 32 мм. Изготовлены из высококачественной стали, цвет черный, в карт./пласт. коробке по 12 шт
</t>
  </si>
  <si>
    <t>Зажим - 41мм</t>
  </si>
  <si>
    <t xml:space="preserve">Зажимы для бумаг,  размер 41 мм. Изготовлены из высококачественной стали, цвет черный, в карт./пласт. коробке по 12 шт
</t>
  </si>
  <si>
    <t>Зажим - 51мм</t>
  </si>
  <si>
    <t xml:space="preserve">Зажимы для бумаг,  размер 51 мм. Изготовлены из высококачественной стали, цвет черный, в карт./пласт. коробке по 12 шт
</t>
  </si>
  <si>
    <t>Индексы (стикеры)</t>
  </si>
  <si>
    <t xml:space="preserve">Набор пленочных  индексных стикеров - разделителей с клеевым краем, на линейке. Неоновые ассорти цвета. В наборе - 45х12 + 42х12 8 цв. (4ленты+4стрелки)  с европодвесом. 
</t>
  </si>
  <si>
    <t>Калькулятор</t>
  </si>
  <si>
    <t xml:space="preserve">Жидкокристаллический дисплей на 16 символов, двойное питание- батарея+ солнечные элементы, функции автоповтора, коррекция 99 шагов, клавиша "000", корпус с металлическим покрытием
</t>
  </si>
  <si>
    <t>Карандаш</t>
  </si>
  <si>
    <t xml:space="preserve">Карандаш чернографитный,  твердость H, шестигранный желтый корпус, с головкой.
</t>
  </si>
  <si>
    <t>Карандаш механический</t>
  </si>
  <si>
    <t xml:space="preserve">Механический карандаш с металлическим клипом и мягким резиновым грипом для комфортного письма. Карандаш оснащен сменным ластиком. Диаметр грифеля-0,5мм, твердость НВ.
</t>
  </si>
  <si>
    <t>Клей карандаш</t>
  </si>
  <si>
    <t xml:space="preserve">Клей карандаш объем 35 гр. Не токсичный, высококачественный, не деформирующий бумагу, без запаха. Для склеивания бумаг и картона.
</t>
  </si>
  <si>
    <t>Клейкая лента (скотч) 12 мм</t>
  </si>
  <si>
    <t>Канцелярская, размер 12 мм х 10 м, прозрачная.</t>
  </si>
  <si>
    <t>Клейкая лента (скотч) 48мм</t>
  </si>
  <si>
    <t>Упаковочная, размер 48 мм*100 м, прозрачная.</t>
  </si>
  <si>
    <t xml:space="preserve">Кнопки канцелярские </t>
  </si>
  <si>
    <t xml:space="preserve">Гвоздики цветные, в пачке 100 штук
</t>
  </si>
  <si>
    <t>Конверт - 229 x 324 мм</t>
  </si>
  <si>
    <t xml:space="preserve">Конверт C4, цвет белый, отрывная полоса по короткой стороне, размер 229 x 324 мм.
Конверт почтовый с тангиром внутри формата С4 предназначен для рассылки документов, журналов и другой корреспонденции.
</t>
  </si>
  <si>
    <t>Конверт - 110 х 220 мм</t>
  </si>
  <si>
    <t xml:space="preserve">Конверт Е65 (DL), цвет белый, отрывная полоса по длинной стороне, размер: 110 х 220 мм. Бумага: белый офсет, плотность 80г/м
</t>
  </si>
  <si>
    <t>Конверт с расширением</t>
  </si>
  <si>
    <t>Конверт,  В4 229х324х40 мм выполнен из крафт бумаги 130г/м2, имеет клеевое нанесение типа стрип (отрывная силиконовая лента) по короткой стороне, боковое и донное расширение 40 мм. Предназначен для почтовых отправлений различной многостраничной документации (архивные документы, бухгалтерские отчеты, журналы, каталоги) и любых объемных вложений.</t>
  </si>
  <si>
    <t xml:space="preserve">Корзина </t>
  </si>
  <si>
    <t xml:space="preserve">Корзина для бумаг пластиковая, сетчатая 9л. Цвет: черный, гладкая сетчатая поверхность, 
h =260 мм, материал полипропилен
</t>
  </si>
  <si>
    <t>Корректор жидкий</t>
  </si>
  <si>
    <t xml:space="preserve">Корректирующая жидкость белого цвета с губчатым аппликатором 20 мл, морозоустойчивая, в блистерной упаковке с европодвесом
</t>
  </si>
  <si>
    <t xml:space="preserve">Корректор </t>
  </si>
  <si>
    <t xml:space="preserve">Корректирующая лента белого цвета 5мм х 12м  в блистере с европодвесом
</t>
  </si>
  <si>
    <t>Ластик</t>
  </si>
  <si>
    <t xml:space="preserve">Для графитовых карандашей любой твердости и цветных карандашей. Материал: натуральный каучук. Цвет: белый
</t>
  </si>
  <si>
    <t>Лейбл - 70х31,5мм</t>
  </si>
  <si>
    <t>Лейбл - 63,5х46,6 мм</t>
  </si>
  <si>
    <t>Линейка классическая</t>
  </si>
  <si>
    <t>Длина: 40 см. Материал: полупрозрачный пластик. Цвет: прозрачный</t>
  </si>
  <si>
    <t>Лоток для бумаг</t>
  </si>
  <si>
    <t xml:space="preserve">Лоток 5-ти секционный. Возможность горизонтальной и вертикальной установки. Материал: полистирол, гладкая полированная поверхность, сборно-разборная конструкция.
</t>
  </si>
  <si>
    <t>Лоток для бумаг, вертикальный</t>
  </si>
  <si>
    <t xml:space="preserve">Лоток вертикальный. Односекционный. Фирменные сменные таблички для маркировки, устойчивый, подходит для хранения тяжелых каталогов и папок, оригинальный дизайн. Цвет неоновый прозрачный красный
</t>
  </si>
  <si>
    <t>Лоток для бумаг, горизонтальный</t>
  </si>
  <si>
    <t>Лоток горизонтальный с широкой загрузкой тонированный в неорновый прозрачный красный цвет гладкая глянцевая поверхность, фиксаторы, препятствующие соскальзыванию с нижнего лотка, экономичная транспортировка и хранение. Материал полистирол, возможность установки друг на друга. Не сборный. Цвет неоновый прозрачный красный.</t>
  </si>
  <si>
    <t>Маркер</t>
  </si>
  <si>
    <t>Ножницы</t>
  </si>
  <si>
    <t>Ножницы, офисные, 23см,  нержавеющая сталь, пластиковые ручки с резиновыми вставками, блистер.</t>
  </si>
  <si>
    <t>Обложка для переплета</t>
  </si>
  <si>
    <t>упаковка</t>
  </si>
  <si>
    <t>Органайзер настольный</t>
  </si>
  <si>
    <t xml:space="preserve">Объемные, удобно расположенные секции разной высоты, гладкая глянцевая поверхность, не менее 6 отделений для канцелярских мелочей и пишущих принадлежностей, визиток и листков для записей, прочный корпус изделия, материал пластик/дерево/металл.
</t>
  </si>
  <si>
    <t>Папка бокс на резинке</t>
  </si>
  <si>
    <t>Папка пакет - А4</t>
  </si>
  <si>
    <t xml:space="preserve">Папка на молнии из полупрозрачного пластика. Предназначена для хранения и транспортировки документов формата А4. Вмещает до 100 листов. Фактура - песок. Толщина пластика 0,14 мм.
</t>
  </si>
  <si>
    <t>Папка пакет - А5</t>
  </si>
  <si>
    <t xml:space="preserve">Папка на молнии из полупрозрачного пластика. Предназначена для хранения и транспортировки документов формата А5. Вмещает до 100 листов. Фактура - песок. Толщина пластика 0,14 мм.
</t>
  </si>
  <si>
    <t>Папка подвесная для файл кабинета</t>
  </si>
  <si>
    <t xml:space="preserve">Подвесные папки для хранения и сортировки документации формата А4. Размер: А4 -315х240 мм с расширенным дном, либо А4+ (FC) - 365х240 мм  с расширенным дном. С прочными металлическими направляющими с крючками.   Изготовлены из экологичного, на 100% переработанного картона, плотность 230 г/м2.  Поставляется с ярлычками-табуляторами и с белыми бумажными этикетками для маркировки документации. Предназначены для организации хранения документов в подвешиваемом положении для файл кабинета. 
</t>
  </si>
  <si>
    <t>Папка регистратор - 50 мм</t>
  </si>
  <si>
    <t xml:space="preserve">Для хранения документов формата А4. Снабжена арочным механизмом, карманом и этикеткой на корешке. Изготовлена из износостойкого картона с  покрытием ПВХ. Белая внутренняя бумага с печатью логотипа и разлиновкой для записи на левой створке. Металлическая окантовка.
Размер корешка 50 мм
</t>
  </si>
  <si>
    <t>Папка регистратор - 80 мм</t>
  </si>
  <si>
    <t xml:space="preserve">Для хранения документов формата А4. Снабжена арочным механизмом, карманом и этикеткой на корешке. Изготовлена из износостойкого картона с  покрытием ПВХ. Белая внутренняя бумага с печатью логотипа и разлиновкой для записи на левой створке. Металлическая окантовка.
Размер корешка 80 мм
</t>
  </si>
  <si>
    <t>Папка с файлами</t>
  </si>
  <si>
    <t xml:space="preserve">Папка с файлами для упорядочения и хранения документов формата А4. Фактура - песок. Прочные швы. Количество вкладышей 40 л. Толщина 0,65 мм
</t>
  </si>
  <si>
    <t>Папка скоросшиватель картонная</t>
  </si>
  <si>
    <t xml:space="preserve">Мелованная картонная папка под формат А4 для сшивания перфорированных листов.
</t>
  </si>
  <si>
    <t>Папка уголок</t>
  </si>
  <si>
    <t xml:space="preserve">Качественная полупрозрачная папка-уголок для защиты документов формата А4. Имеет вырез для удобного извлечения бумаг. Фактура - песок. Толщина пластика 0,12мм.
</t>
  </si>
  <si>
    <t>Папка скоросшиватель пластиковая</t>
  </si>
  <si>
    <t xml:space="preserve">Пластиковая папка - скоросшиватель под формат А4 для сшивания перфорированных листов. Толщина пластика 120/160 мкм. Полипропилен. Прозрачный верх. Цвета: 20 желтых, 20 красных, 20 зеленых, 20 черных
</t>
  </si>
  <si>
    <t xml:space="preserve">Подложки для переплета </t>
  </si>
  <si>
    <t xml:space="preserve">Подложки для переплета. Формат: A4. Материал: картон, плотность не менее 270 г/м2
Тиснение: "глянец". Цвет: белый. Количество в упаковке: 100 шт.
</t>
  </si>
  <si>
    <t>Подставка под блок бумаги для записей</t>
  </si>
  <si>
    <t>Подушка штемпельная</t>
  </si>
  <si>
    <t xml:space="preserve">Сменная штемпельная подушка для оснастки IDEAL 400R Series self-unking stamps 1.625''. Диаметр 40 мм
</t>
  </si>
  <si>
    <t>Пружины для переплета - 4,5 мм</t>
  </si>
  <si>
    <t xml:space="preserve">Пружина для переплета. Диаметр: 4,5 мм. Количество переплетаемых листов: до 20. Материал: пластик
Цвет: белый.Количество в упаковке: 100 шт.
</t>
  </si>
  <si>
    <t>Пружины для переплета - 6 мм</t>
  </si>
  <si>
    <t xml:space="preserve">Пружина для переплета. Диаметр: 6 мм. Количество переплетаемых листов: до 30. Материал: пластик. Цвет: белый. Количество в упаковке: 100 шт.
</t>
  </si>
  <si>
    <t>Разделители картонные</t>
  </si>
  <si>
    <t>Ручка шариковая – синий стержень</t>
  </si>
  <si>
    <t xml:space="preserve">Ручка шариковая, синий стержень, толщина стержня - 0,7 мм
</t>
  </si>
  <si>
    <t>Ручка шариковая - черный стержень</t>
  </si>
  <si>
    <t xml:space="preserve">Ручка шариковая, черный стержень, толщина стержня - 0,7 мм.
</t>
  </si>
  <si>
    <t>Ручка шариковая - красный стержень</t>
  </si>
  <si>
    <t xml:space="preserve">Ручка шариковая, красный стержень, толщина стержня - 0,7 мм 
</t>
  </si>
  <si>
    <t>Самонаборный штамп 4912/DB</t>
  </si>
  <si>
    <t xml:space="preserve">Максимальный размер штампа: 47 х 18 мм. Максимальное количество знаков в строке основного шрифта:28 знаков. Для выделенного текста: 19 знаков. Максимальное количество строк: 4. Касса 6005, 6006 (латинский вариант 6003,6004). Встроенная сменная подушка, основная касса и пинцет
</t>
  </si>
  <si>
    <t>Скобы -  №10</t>
  </si>
  <si>
    <t xml:space="preserve">Скобы для степлера №10, оцинкованные, в коробке 1000 штук
</t>
  </si>
  <si>
    <t>Скобы - №24/6</t>
  </si>
  <si>
    <t xml:space="preserve">Скобы для степлера №24/6, оцинкованные, в коробке 1000 штук
</t>
  </si>
  <si>
    <t>Скобы - №23/10</t>
  </si>
  <si>
    <t xml:space="preserve">Скобы для степлера №23/10, оцинкованные, в коробке 1000 штук
</t>
  </si>
  <si>
    <t>Скобы - №23/17</t>
  </si>
  <si>
    <t xml:space="preserve">Скобы для степлера №23/17, оцинкованные, в коробке 1000 штук
</t>
  </si>
  <si>
    <t xml:space="preserve">Скрепки </t>
  </si>
  <si>
    <t>Скрепки – 50 мм</t>
  </si>
  <si>
    <t>Степлер - №10</t>
  </si>
  <si>
    <t xml:space="preserve">Степлер №10 пластиковый, на 10 листов. Высококачественный пластиковый корпус. Стальной механизм. Скобоудалитель. Используются скобы №10.
</t>
  </si>
  <si>
    <t>Степлер - №24</t>
  </si>
  <si>
    <t xml:space="preserve">Степлер №24 пластиковый на 20 листов. Компактный, стильный степлер. Удобный пластиковый корпус с резиновой вставкой. Используются скобы 24. 
</t>
  </si>
  <si>
    <t>Телефонная книга</t>
  </si>
  <si>
    <t xml:space="preserve">Размер: 16*23.5 см
Количество страниц: 192
Линовка: линейка/клетка
</t>
  </si>
  <si>
    <t xml:space="preserve">Тетрадь А4 </t>
  </si>
  <si>
    <t xml:space="preserve">Тетрадь общая А4 на спирали, клетка, 80 листов
</t>
  </si>
  <si>
    <t>Точилка</t>
  </si>
  <si>
    <t xml:space="preserve">Точилка для карандашей металлическая, прямоугольная/ цилиндрическая
</t>
  </si>
  <si>
    <t>Увлажнитель для пальцев</t>
  </si>
  <si>
    <t xml:space="preserve">Увлажнитель для пальцев Вес:20г размер: 60х15мм Наполнитель гелевый
</t>
  </si>
  <si>
    <t>Файл</t>
  </si>
  <si>
    <t xml:space="preserve">Папка-файл под формат А-4, с универсальной перфорацией. Прозрачный пластик 80мкр, 100 шт/уп.
</t>
  </si>
  <si>
    <t>Шило канцелярское</t>
  </si>
  <si>
    <t>Изделие с пластиковой/деревянной рукояткой. Оборудовано иглой диаметром 0,2 см и длиной 54 мм, изготовленной из металла, который имеет никелированное покрытие. Изделие может обеспечить прокалывание 30 листов бумаги за один раз.</t>
  </si>
  <si>
    <t>Жилые помещения (квартиры)</t>
  </si>
  <si>
    <t>Тендер</t>
  </si>
  <si>
    <t xml:space="preserve">Жилые помещения (квартиры): 
- двухкомнатные квартиры 22 штуки (общая площадь от 45 до 60 м.кв., планировка согласно техническому паспорту установленной формы); 
- трехкомнатные (32 штуки) и 
- четырехкомнатные (6 штук) (общая площадь от 70 до 100 м.кв., планировка согласно техническому паспорту установленной формы)
</t>
  </si>
  <si>
    <t>не более 4900 м.кв.</t>
  </si>
  <si>
    <t>квадратный метр</t>
  </si>
  <si>
    <t>не более 274 500 (двести семьдесят четыре тысячи пятьсот) тенге</t>
  </si>
  <si>
    <t>Итого товары</t>
  </si>
  <si>
    <t>х</t>
  </si>
  <si>
    <t>Работы</t>
  </si>
  <si>
    <t>Итого работы</t>
  </si>
  <si>
    <t>Услуги</t>
  </si>
  <si>
    <t xml:space="preserve">Аренда транспортного средства </t>
  </si>
  <si>
    <t>Услуги по предоставлению во временное владение и пользование  транспортного средства с оказаанинем услуг по управлению им и технической эксплуатации. Требования к транспортному средству: седан, год выпуска не ранее 2000 года, в хорошем состоянии, без повреждений, наличие комплектов летеней и зимней резины, подушек безопасности. Требования к экипажу: водительские права категории "В", "С", стаж вождения 3 года и более.</t>
  </si>
  <si>
    <t>услуга</t>
  </si>
  <si>
    <t>Почтовые и курьерские услуги</t>
  </si>
  <si>
    <t>Почтовые и курьерские услуги по приёму, транспортировке и доставке отправлений по Республике Казахстан и миру.</t>
  </si>
  <si>
    <t>Доработка веб-сайта</t>
  </si>
  <si>
    <t>Услуги по доработке веб-сайта КФ "Фонд социального развития":
1) Подключение систем оплаты Qiwi, PayPal, Yandex;
2) Создание вкладки "Закупки"</t>
  </si>
  <si>
    <t>Техническая поддержка веб-сайта</t>
  </si>
  <si>
    <t>Услуги по технической поддержке веб-сайта КФ "Фонд социального развития" в течение 12 месяцев</t>
  </si>
  <si>
    <t>Аудиторские услуги  по аудиту финансовой отчетности  за 2015 год</t>
  </si>
  <si>
    <t>Услуги, включая сопутствующие, по проведению аудита финансовой отчетности Заказчика, подготовленной в соответствии с международными стандартами финансовой отчетности  (далее – МСФО) и в соответствии с перечнем, формами, утвержденными Приказом Министра финансов Республики Казахстан от 20 августа 2010 года № 422 «Об утверждении перечня и форм годовой финансовой отчетности для публикации организациями публичного интереса (кроме финансовых организаций)» по состоянию на  31 декабря  2015 года.</t>
  </si>
  <si>
    <t xml:space="preserve">Имущественный найм (аренда) нежилого помещения </t>
  </si>
  <si>
    <t>Аренда офиса (кабинета) в здании бизнес центра в г. Астана, район "Есиль". Требования: площадь не менее 20 м.кв., наличие телефонной связи, доступа в интернет, наличие мебели на 3 человек, возможности подключения оргтехники, услуг уборки и охраны офиса (кабинета), доступа в сан. узлы здания.</t>
  </si>
  <si>
    <t>месяц</t>
  </si>
  <si>
    <t>Перевозка оргтехники и мебели</t>
  </si>
  <si>
    <t>Услуги по доставке, погрузке и разгрузке мебели и оргтехники в арендуемый офис в городе.</t>
  </si>
  <si>
    <t>Услуги сотовой связи</t>
  </si>
  <si>
    <t xml:space="preserve">Приобретение услуг предоставления сотовой связи на 12 месяцев у оператора сотовой связи АО "Кселл", оказывающим услуги в стандарте GSM-900/1800 и UMTS/WCDMA (2100 МГц). для руководителя и двух заместителей </t>
  </si>
  <si>
    <t>Услуги по предоставлению бесперепятственного доступа к Интренет-ресурсу базе данных Учет.kz</t>
  </si>
  <si>
    <t>Приобретение услуг беспрепятственного доступа к Интернет-ресурсy (порталу) Учет.kz (http://www.uchet.kz) на период 18 месяцев</t>
  </si>
  <si>
    <t>Итого услуги</t>
  </si>
  <si>
    <t>Всего</t>
  </si>
  <si>
    <t>Примечание:</t>
  </si>
  <si>
    <t>**Правила закупок товаров, работ, услуг (далее – Правила**), утвержденные решением Попечительского совета Корпоративного фонда «Фонд социального развития» от 28 марта 2012 года № 3.</t>
  </si>
  <si>
    <t xml:space="preserve">Пп.23) пункта 15 Правил** </t>
  </si>
  <si>
    <t xml:space="preserve">Пп.17) пункта 15 Правил** </t>
  </si>
  <si>
    <t xml:space="preserve">Лейблы на 30 этикеток размер 70х31,5мм, 100 листов в упаковке, формат А4. Наклейки на бумажной основе, универсальные, для лазерных принтеров.Цвет: белый. 
</t>
  </si>
  <si>
    <t xml:space="preserve">Лейблы на 18 этикеток. размер 63,5х46,6 мм, 100 листов в упаковке, формат А4. Наклейки на бумажной основе, универсальные, для лазерных принтеров.Цвет: белый. </t>
  </si>
  <si>
    <t>Пластмассовый корпус. Клинообразный пишущий узел. Толщина линии: 4.0 мм. В наборе 4 текстовыделителя: розовый, желтый, зеленый, голубой. Цена за пачку</t>
  </si>
  <si>
    <t>Обложка для переплета, формат: A4. Материал: слюда.
Цвет: прозрачный с голубым оттенком. Количество в упаковке: 100  листов.</t>
  </si>
  <si>
    <t>Пластиковая папка - бокс под формат А-4. Размер: 240х320х25 мм. Закрывается с помощью двух резинок, закрепленных по углам. Толщина пластика 0,65мм. Цвета: ассорти.</t>
  </si>
  <si>
    <t xml:space="preserve">Пластбокс прозрачный для бумажного блока 
Формат 90*90*50
Материал пластик. Цвет прозрачный
</t>
  </si>
  <si>
    <t xml:space="preserve">Формат: A4. Разделы: 10 цветов
Материал: картон. Цвет: ассорти
</t>
  </si>
  <si>
    <t>Никелированные канцелярские скрепки треугольной формы с отогнутым носиком, который позволяет легко захватывать бумагу. Не ржавеют, не пачкают бумагу, обеспечивают надежное скрепление. Длина: 31или 32 мм. Цвет: серебристый. Количество в коробке: 100 шт.</t>
  </si>
  <si>
    <t>Скрепки металлические 50 мм гофрированные никелированные 50 шт./в картонной коробке. 
Длина: 50 мм. Материал: никелированное покрытие. Цвет: серебристый
Профиль: овальный гофрированный. Количество в коробке: 50 шт.</t>
  </si>
  <si>
    <t xml:space="preserve">Согласовано                                                                                                                                                                    
</t>
  </si>
  <si>
    <t xml:space="preserve">Утверждаю 
Председатель Правления корпоративного 
фонда "Фонд социального развития"                             
Макеева М.Ш. _________________                                      
"___" _____________ 2015 года </t>
  </si>
  <si>
    <t>* Правила закупок товаров, работ, услуг (далее – Правила*), утвержденные решением Попечительского совета Корпоративного фонда «Фонд социального развития» от 11 февраля 2015 года № 2;</t>
  </si>
  <si>
    <t>Размещение информационных материалов в СМИ</t>
  </si>
  <si>
    <t xml:space="preserve">Пп. 11) пункта 3.1. статьи 3 Правил* </t>
  </si>
  <si>
    <t>Приобретение услуг по размещению информации в СМИ - публикация  отчёта об использовании имущества КФ ФСР за 2015 год</t>
  </si>
  <si>
    <t>способом запроса ценовых предложений</t>
  </si>
  <si>
    <t xml:space="preserve">Квартиры с машиноместом (паркингом): 
- 16 трехкомнатных квар-тир (общая площадь не более 2400 м.кв., плани-ровка согласно техничес-кому паспорту);
- 4 четырехкомнатных квартир (общая площадь не более 700 м.кв., пла-нировка согласно техни-ческому паспорту установ-ленной формы);
- 20 машиномест (паркингов) (общая площадь не более 400 м.кв.).
Квартиры с машиноместом (паркингом) должны быть расположены в одном многоквартирном жилом комплексе.
</t>
  </si>
  <si>
    <t>комплект</t>
  </si>
  <si>
    <t xml:space="preserve">Пп. 1, пп.21) пункта 3.1. статьи 3 Правил* </t>
  </si>
  <si>
    <t>Эксплуатационные услуги и возмещение расходов на: электроэнергию на общедомовые нужды и коммунальные услуги в квартирах жилого комплекса «Хайвил Астана»</t>
  </si>
  <si>
    <t>Оказание эксплуатационных услуг и возмещения расходов на: электроэнергию на общедомовые нужды и коммунальные услуги в 38 (тридцать восемь) квартирах жилого комплекса «Хайвил Астана», принадлежащих корпоративному фонду «Фонд социального развития», расположенных по адресу: г. Астана, пр. Р. Кошкарбаева, д.10 блок «Е2», д.8 блок «Е1» ЖК «Хайвил Астана»</t>
  </si>
  <si>
    <t>Управление, содержание и обслуживание парковочных мест в жилом комплексе «Хайвил Астана»</t>
  </si>
  <si>
    <t>Эксплуатационные услуги по управлению, содержанию и обслуживанию 22 (двадцать два) парковочных мест: - управление, содержание и обслуживание внутренних общедомовых инженерных сетей: системы отопления, горячего и холодного водоснабжения, канализации, электроснабжения; - благоустройство</t>
  </si>
  <si>
    <t>Юрист корпоративного фонда «Фонд социального развития»                                                         Махамбетова К.С.</t>
  </si>
  <si>
    <t>"___"__________2015 года</t>
  </si>
  <si>
    <t>Квартиры с машиноместом(паркингом)</t>
  </si>
  <si>
    <t>Старший менеджер корпоративного фонда «Фонд социального развития»                                    Кульджигачова Н.Т.</t>
  </si>
  <si>
    <t>Электроэнергия</t>
  </si>
  <si>
    <t xml:space="preserve">Услуги по  вывозу твердо-бытовых отходов </t>
  </si>
  <si>
    <t xml:space="preserve">Пп. 21) пункта 3.1. статьи 3 Правил* </t>
  </si>
  <si>
    <t xml:space="preserve">Реестр планируемых закупок товаров, работ, услуг на 2016 год </t>
  </si>
  <si>
    <t>Цена за единицу товара/работы/услуги, тенге*</t>
  </si>
  <si>
    <t>Аудиторские услуги  по аудиту финансовой отчетности  за 2016 год</t>
  </si>
  <si>
    <t>Услуги, включая сопутствующие, по проведению аудита финансовой отчетности Заказчика, подготовленной в соответствии с международными стандартами финансовой отчетности  (далее – МСФО) и в соответствии с перечнем, формами, утвержденными Приказом Министра финансов Республики Казахстан от 20 августа 2010 года № 422 «Об утверждении перечня и форм годовой финансовой отчетности для публикации организациями публичного интереса (кроме финансовых организаций)» по состоянию на  31 декабря  2016 года.</t>
  </si>
  <si>
    <t>Услуги доступа к интернет-ресурсу - Бухгалтерский портал Учёт.kz - тариф ПРОФ</t>
  </si>
  <si>
    <t>Проведение экспертного обследования и профилактических испытаний электроустановок</t>
  </si>
  <si>
    <t>Проведение экспертного обследования и профилактических испытаний электроустановок в 32 квартирах в ЖК Хайвил Астана</t>
  </si>
  <si>
    <t>Жилищно-эксплуатационные услуги по жилому комплексу  «Хайвил Астана» блок G</t>
  </si>
  <si>
    <t>Жилищно-эксплуатационные услуги по жилому комплексу  «Хайвил Астана» блок G  - 32 квартиры, 3 месяца</t>
  </si>
  <si>
    <t>Жилищно-эксплуатационные услуги по жилому комплексу  «Хайвил Астана» блок G - 20 парковочных мест,  3 месяца</t>
  </si>
  <si>
    <t>Жилищно-эксплуатационные услуги по жилому комплексу  «Хайвил Астана» блок Е1, Е2</t>
  </si>
  <si>
    <t>Жилищно-эксплуатационные услуги по жилому комплексу  «Кулагер», ул.Е10 дом 2</t>
  </si>
  <si>
    <t>Жилищно-эксплуатационные услуги по жилому комплексу  «Кулагер», ул.Е10 дом 4</t>
  </si>
  <si>
    <t xml:space="preserve">Услуги доступа к интернет-ресурсу </t>
  </si>
  <si>
    <t xml:space="preserve">Вывоз твердо-бытовых отходов со следующих объектов: жилой комплекс  «Кулагер», ул.Е10 дом 2 - 7 квартир на 12 месяцев и 16 квартир на 3 месяца, жилой комплекс  «Кулагер», ул.Е10 дом 2 - 8 квартир на 12 месяцев и 14 квартир на 3 месяца
</t>
  </si>
  <si>
    <t xml:space="preserve">пп.12) п.3.1 ст.3 Правил </t>
  </si>
  <si>
    <t>пп. 22) п.3.1. ст.3 Правил</t>
  </si>
  <si>
    <t>пп. 21) п.3.1. ст.3 Правил</t>
  </si>
  <si>
    <t>Пп. 21) пункта 3.1. статьи 3 Правил</t>
  </si>
  <si>
    <t>Приобретение услуг предоставления сотовой связи на 12 месяцев у оператора сотовой связи</t>
  </si>
  <si>
    <t>Приспособление для удаления скоб с металлическим механизмом и пластиковыми ручками, с кнопкой блокировки.</t>
  </si>
  <si>
    <t xml:space="preserve">С клеевым краем, размер 76х76 мм, цвета разноцветные неоновые. 
</t>
  </si>
  <si>
    <t>Набор текстовых маркеров</t>
  </si>
  <si>
    <t>Пластмассовый корпус. Клинообразный пишущий узел. Толщина линии: 4.0 мм.  В наборе 8  ярких неоновыех цвета</t>
  </si>
  <si>
    <t>Самонаборный автоматический датер</t>
  </si>
  <si>
    <t xml:space="preserve">Датер самонаборный автоматический с ленточный механизмом, помещенным в пластиковый корпус со встроенной подушечкой и рифленой текстовой площадкой, рассчитанной на 6 строк текста. Размер клише, мм: 60×40. Касса: 6005, 6006 (латинский вариант 6003, 6004). В комплекте встроенная сменная подушка, две кассы и пинцет.
</t>
  </si>
  <si>
    <t>Канцелярский журнал</t>
  </si>
  <si>
    <t>Вертикальный, 100 листов. Разлиновка листов - клетка.</t>
  </si>
  <si>
    <t>* Правила закупок товаров, работ, услуг (далее – Правила), утвержденные решением Попечительского совета Корпоративного фонда «Фонд социального развития» от 11 февраля 2015 года № 2</t>
  </si>
  <si>
    <t>Жилищно-эксплуатационные услуги по жилому комплексу  «Хайвил Астана» блок Е1, Е2 - квартиры</t>
  </si>
  <si>
    <t>Жилищно-эксплуатационные услуги по жилому комплексу  «Хайвил Астана» блок Е1, Е2 - парковочные места</t>
  </si>
  <si>
    <t xml:space="preserve">Жилищно-эксплуатационные услуги по жилому комплексу  «Кулагер», ул.Е10 дом 2 - 7 квартир </t>
  </si>
  <si>
    <t xml:space="preserve">Жилищно-эксплуатационные услуги по жилому комплексу  «Кулагер», ул.Е10 дом 4 - 8 квартир </t>
  </si>
  <si>
    <t>Поставка электроэнергии в квартиры, находящиеся в  жилом комплексе  «Хайвил Астана» блоки Е1, Е2, G , жилом комплексе  «Кулагер», ул.Е10 дом 2 и 4</t>
  </si>
  <si>
    <t xml:space="preserve">Для хранения документов формата А4. Снабжена арочным механизмом, карманом и этикеткой на корешке. Изготовлена из износостойкого картона с  покрытием ПВХ. Белая внутренняя бумага с печатью логотипа и разлиновкой для записи на левой створке. Прочная металлическая окантовка.Размер корешка 80 мм
</t>
  </si>
  <si>
    <t xml:space="preserve">Для хранения документов формата А4. Снабжена арочным механизмом, карманом и этикеткой на корешке. Изготовлена из износостойкого картона с  покрытием ПВХ. Белая внутренняя бумага с печатью логотипа и разлиновкой для записи на левой створке. Прочная металлическая окантовка.Размер корешка 50 мм
</t>
  </si>
  <si>
    <t xml:space="preserve">Услуги по технической поддержке веб-сайта копроративного фонда "Фонд социального развития" </t>
  </si>
  <si>
    <t>Эксплуатационные услуги по парковочным местам в жилом комплексе "Хайвил Астана" блоки Е1, Е2</t>
  </si>
  <si>
    <t>Эксплуатационные услуги по 20 парковочным местам в жилом комплексе "Хайвил Астана" блоки Е1, Е2</t>
  </si>
  <si>
    <t>640 000, 00</t>
  </si>
  <si>
    <t>Менеджер корпоративного фонда «Фонд социального развития»                                                                                              Омашева А.Б.</t>
  </si>
  <si>
    <t>Юрист корпоративного фонда «Фонд социального развития»                                                                                                      Сагиден С.М.</t>
  </si>
  <si>
    <t xml:space="preserve">Утверждаю 
Председатель Правления корпоративного 
фонда "Фонд социального развития"                             
Макеева М.Ш. _________________                                      
"11" ноября 2016 года </t>
  </si>
  <si>
    <t>Эксплуатационные услуги по жилому комплексу "Хайвил Астана" блоки Е1, Е2</t>
  </si>
  <si>
    <t>Жилищно-эксплуатационные услуги по жилому комплексу  "Хайвил Астана", блок Е1, Е2</t>
  </si>
  <si>
    <t>Эксплуатационные услуги по жилому комплексу «Хайвил Астана» блок Е1, Е2 - парковочные места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</si>
</sst>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</cellStyleXfs>
  <cellXfs count="130">
    <xf numFmtId="0" fontId="0" fillId="0" borderId="0" xfId="0"/>
    <xf numFmtId="2" fontId="6" fillId="2" borderId="0" xfId="0" applyNumberFormat="1" applyFont="1" applyFill="1" applyAlignment="1">
      <alignment horizontal="center" vertical="center" wrapText="1"/>
    </xf>
    <xf numFmtId="1" fontId="7" fillId="2" borderId="0" xfId="0" applyNumberFormat="1" applyFont="1" applyFill="1" applyAlignment="1">
      <alignment horizontal="center" vertical="center" wrapText="1"/>
    </xf>
    <xf numFmtId="1" fontId="6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7" fillId="2" borderId="0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/>
    </xf>
    <xf numFmtId="0" fontId="8" fillId="0" borderId="0" xfId="0" applyFont="1"/>
    <xf numFmtId="1" fontId="10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1" fontId="10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8" fillId="0" borderId="0" xfId="0" applyNumberFormat="1" applyFont="1" applyAlignment="1">
      <alignment horizontal="center"/>
    </xf>
    <xf numFmtId="2" fontId="8" fillId="3" borderId="2" xfId="0" applyNumberFormat="1" applyFont="1" applyFill="1" applyBorder="1" applyAlignment="1">
      <alignment horizontal="center" vertical="center" wrapText="1"/>
    </xf>
    <xf numFmtId="2" fontId="12" fillId="0" borderId="2" xfId="5" applyNumberFormat="1" applyFont="1" applyFill="1" applyBorder="1" applyAlignment="1">
      <alignment horizontal="center" vertical="center" wrapText="1"/>
    </xf>
    <xf numFmtId="1" fontId="8" fillId="3" borderId="2" xfId="0" applyNumberFormat="1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2" fontId="10" fillId="3" borderId="2" xfId="0" applyNumberFormat="1" applyFont="1" applyFill="1" applyBorder="1" applyAlignment="1">
      <alignment horizontal="center" vertical="center" wrapText="1"/>
    </xf>
    <xf numFmtId="2" fontId="10" fillId="2" borderId="2" xfId="0" applyNumberFormat="1" applyFont="1" applyFill="1" applyBorder="1" applyAlignment="1">
      <alignment horizontal="center" vertical="center" wrapText="1"/>
    </xf>
    <xf numFmtId="2" fontId="10" fillId="3" borderId="2" xfId="0" applyNumberFormat="1" applyFont="1" applyFill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 wrapText="1"/>
    </xf>
    <xf numFmtId="2" fontId="11" fillId="0" borderId="0" xfId="0" applyNumberFormat="1" applyFont="1" applyAlignment="1">
      <alignment horizontal="center" vertical="center"/>
    </xf>
    <xf numFmtId="2" fontId="9" fillId="5" borderId="2" xfId="0" applyNumberFormat="1" applyFont="1" applyFill="1" applyBorder="1" applyAlignment="1">
      <alignment horizontal="center" vertical="center" wrapText="1"/>
    </xf>
    <xf numFmtId="1" fontId="9" fillId="5" borderId="2" xfId="0" applyNumberFormat="1" applyFont="1" applyFill="1" applyBorder="1" applyAlignment="1">
      <alignment horizontal="center" vertical="center" wrapText="1"/>
    </xf>
    <xf numFmtId="165" fontId="9" fillId="5" borderId="2" xfId="1" applyFont="1" applyFill="1" applyBorder="1" applyAlignment="1">
      <alignment horizontal="center" vertical="center" wrapText="1"/>
    </xf>
    <xf numFmtId="0" fontId="11" fillId="0" borderId="0" xfId="0" applyFont="1"/>
    <xf numFmtId="2" fontId="10" fillId="0" borderId="2" xfId="0" applyNumberFormat="1" applyFont="1" applyBorder="1" applyAlignment="1">
      <alignment horizontal="center" vertical="center" wrapText="1"/>
    </xf>
    <xf numFmtId="0" fontId="6" fillId="0" borderId="0" xfId="0" applyFont="1"/>
    <xf numFmtId="2" fontId="6" fillId="2" borderId="2" xfId="2" applyNumberFormat="1" applyFont="1" applyFill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/>
    </xf>
    <xf numFmtId="1" fontId="9" fillId="0" borderId="0" xfId="0" applyNumberFormat="1" applyFont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 vertical="center" wrapText="1"/>
    </xf>
    <xf numFmtId="1" fontId="6" fillId="0" borderId="0" xfId="4" applyNumberFormat="1" applyFont="1" applyAlignment="1">
      <alignment horizontal="center" vertical="center" wrapText="1"/>
    </xf>
    <xf numFmtId="2" fontId="6" fillId="0" borderId="0" xfId="4" applyNumberFormat="1" applyFont="1" applyAlignment="1">
      <alignment horizontal="center" vertical="center" wrapText="1"/>
    </xf>
    <xf numFmtId="0" fontId="8" fillId="0" borderId="0" xfId="0" applyFont="1" applyAlignment="1">
      <alignment horizontal="left" vertical="top"/>
    </xf>
    <xf numFmtId="2" fontId="8" fillId="0" borderId="0" xfId="0" applyNumberFormat="1" applyFont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top" wrapText="1"/>
    </xf>
    <xf numFmtId="2" fontId="9" fillId="0" borderId="0" xfId="0" applyNumberFormat="1" applyFont="1" applyAlignment="1">
      <alignment horizontal="center" vertical="center"/>
    </xf>
    <xf numFmtId="2" fontId="9" fillId="4" borderId="4" xfId="0" applyNumberFormat="1" applyFont="1" applyFill="1" applyBorder="1" applyAlignment="1">
      <alignment horizontal="center" vertical="center" wrapText="1"/>
    </xf>
    <xf numFmtId="2" fontId="9" fillId="5" borderId="3" xfId="0" applyNumberFormat="1" applyFont="1" applyFill="1" applyBorder="1" applyAlignment="1">
      <alignment horizontal="center" vertical="center" wrapText="1"/>
    </xf>
    <xf numFmtId="2" fontId="9" fillId="5" borderId="5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9" fillId="4" borderId="4" xfId="0" applyNumberFormat="1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9" fillId="5" borderId="2" xfId="0" applyNumberFormat="1" applyFont="1" applyFill="1" applyBorder="1" applyAlignment="1">
      <alignment horizontal="center" vertical="center" wrapText="1"/>
    </xf>
    <xf numFmtId="49" fontId="6" fillId="2" borderId="2" xfId="2" applyNumberFormat="1" applyFont="1" applyFill="1" applyBorder="1" applyAlignment="1">
      <alignment horizontal="center" vertical="center" wrapText="1"/>
    </xf>
    <xf numFmtId="49" fontId="6" fillId="2" borderId="2" xfId="3" applyNumberFormat="1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6" fillId="0" borderId="0" xfId="4" applyNumberFormat="1" applyFont="1" applyAlignment="1">
      <alignment horizontal="center" vertical="center" wrapText="1"/>
    </xf>
    <xf numFmtId="1" fontId="6" fillId="0" borderId="0" xfId="4" applyNumberFormat="1" applyFont="1" applyAlignment="1">
      <alignment horizontal="left" vertical="center"/>
    </xf>
    <xf numFmtId="2" fontId="7" fillId="2" borderId="0" xfId="0" applyNumberFormat="1" applyFont="1" applyFill="1" applyBorder="1" applyAlignment="1">
      <alignment vertical="center" wrapText="1"/>
    </xf>
    <xf numFmtId="165" fontId="6" fillId="2" borderId="2" xfId="1" applyFont="1" applyFill="1" applyBorder="1" applyAlignment="1">
      <alignment horizontal="center" vertical="center" wrapText="1"/>
    </xf>
    <xf numFmtId="165" fontId="10" fillId="0" borderId="2" xfId="1" applyFont="1" applyBorder="1" applyAlignment="1">
      <alignment horizontal="center" vertical="center" wrapText="1"/>
    </xf>
    <xf numFmtId="165" fontId="8" fillId="0" borderId="2" xfId="1" applyFont="1" applyBorder="1" applyAlignment="1">
      <alignment horizontal="center" vertical="center"/>
    </xf>
    <xf numFmtId="165" fontId="8" fillId="0" borderId="0" xfId="1" applyFont="1" applyAlignment="1">
      <alignment horizontal="center" vertical="center"/>
    </xf>
    <xf numFmtId="165" fontId="9" fillId="0" borderId="1" xfId="1" applyFont="1" applyBorder="1" applyAlignment="1">
      <alignment horizontal="center" vertical="center" wrapText="1"/>
    </xf>
    <xf numFmtId="165" fontId="9" fillId="4" borderId="5" xfId="1" applyFont="1" applyFill="1" applyBorder="1" applyAlignment="1">
      <alignment horizontal="center" vertical="center" wrapText="1"/>
    </xf>
    <xf numFmtId="165" fontId="8" fillId="3" borderId="2" xfId="1" applyFont="1" applyFill="1" applyBorder="1" applyAlignment="1">
      <alignment horizontal="center" vertical="center" wrapText="1"/>
    </xf>
    <xf numFmtId="165" fontId="11" fillId="5" borderId="2" xfId="1" applyFont="1" applyFill="1" applyBorder="1" applyAlignment="1">
      <alignment horizontal="center" vertical="center"/>
    </xf>
    <xf numFmtId="165" fontId="11" fillId="0" borderId="0" xfId="1" applyFont="1" applyBorder="1" applyAlignment="1">
      <alignment horizontal="center" vertical="center"/>
    </xf>
    <xf numFmtId="165" fontId="6" fillId="0" borderId="0" xfId="1" applyFont="1" applyAlignment="1">
      <alignment horizontal="center" vertical="center" wrapText="1"/>
    </xf>
    <xf numFmtId="165" fontId="8" fillId="0" borderId="0" xfId="1" applyFont="1" applyAlignment="1">
      <alignment horizontal="center" vertical="center" wrapText="1"/>
    </xf>
    <xf numFmtId="165" fontId="9" fillId="4" borderId="4" xfId="1" applyFont="1" applyFill="1" applyBorder="1" applyAlignment="1">
      <alignment horizontal="center" vertical="center" wrapText="1"/>
    </xf>
    <xf numFmtId="165" fontId="8" fillId="0" borderId="2" xfId="1" applyFont="1" applyBorder="1" applyAlignment="1">
      <alignment horizontal="center" vertical="center" wrapText="1"/>
    </xf>
    <xf numFmtId="165" fontId="6" fillId="0" borderId="2" xfId="1" applyFont="1" applyBorder="1" applyAlignment="1">
      <alignment horizontal="center" vertical="center" wrapText="1"/>
    </xf>
    <xf numFmtId="165" fontId="9" fillId="0" borderId="0" xfId="1" applyFont="1" applyBorder="1" applyAlignment="1">
      <alignment horizontal="center" vertical="center" wrapText="1"/>
    </xf>
    <xf numFmtId="0" fontId="10" fillId="0" borderId="2" xfId="1" applyNumberFormat="1" applyFont="1" applyBorder="1" applyAlignment="1">
      <alignment horizontal="center" vertical="center" wrapText="1"/>
    </xf>
    <xf numFmtId="2" fontId="8" fillId="0" borderId="0" xfId="0" applyNumberFormat="1" applyFont="1" applyFill="1" applyAlignment="1">
      <alignment horizontal="center" vertical="center"/>
    </xf>
    <xf numFmtId="0" fontId="8" fillId="0" borderId="0" xfId="0" applyFont="1" applyFill="1"/>
    <xf numFmtId="2" fontId="6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2" fontId="9" fillId="0" borderId="2" xfId="0" applyNumberFormat="1" applyFont="1" applyBorder="1" applyAlignment="1">
      <alignment horizontal="center" vertical="top" wrapText="1"/>
    </xf>
    <xf numFmtId="1" fontId="10" fillId="0" borderId="2" xfId="0" applyNumberFormat="1" applyFont="1" applyBorder="1" applyAlignment="1">
      <alignment horizontal="center" vertical="top" wrapText="1"/>
    </xf>
    <xf numFmtId="49" fontId="10" fillId="0" borderId="2" xfId="0" applyNumberFormat="1" applyFont="1" applyBorder="1" applyAlignment="1">
      <alignment horizontal="center" vertical="top" wrapText="1"/>
    </xf>
    <xf numFmtId="0" fontId="10" fillId="0" borderId="2" xfId="1" applyNumberFormat="1" applyFont="1" applyBorder="1" applyAlignment="1">
      <alignment horizontal="center" vertical="top" wrapText="1"/>
    </xf>
    <xf numFmtId="1" fontId="10" fillId="0" borderId="2" xfId="0" applyNumberFormat="1" applyFont="1" applyFill="1" applyBorder="1" applyAlignment="1">
      <alignment horizontal="center" vertical="top" wrapText="1"/>
    </xf>
    <xf numFmtId="2" fontId="6" fillId="0" borderId="2" xfId="0" applyNumberFormat="1" applyFont="1" applyFill="1" applyBorder="1" applyAlignment="1">
      <alignment horizontal="center" vertical="top" wrapText="1"/>
    </xf>
    <xf numFmtId="2" fontId="12" fillId="0" borderId="2" xfId="5" applyNumberFormat="1" applyFont="1" applyFill="1" applyBorder="1" applyAlignment="1">
      <alignment horizontal="center"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1" fontId="6" fillId="0" borderId="2" xfId="0" applyNumberFormat="1" applyFont="1" applyFill="1" applyBorder="1" applyAlignment="1">
      <alignment horizontal="center" vertical="top" wrapText="1"/>
    </xf>
    <xf numFmtId="165" fontId="8" fillId="0" borderId="2" xfId="1" applyNumberFormat="1" applyFont="1" applyFill="1" applyBorder="1" applyAlignment="1">
      <alignment horizontal="center" vertical="top" wrapText="1"/>
    </xf>
    <xf numFmtId="165" fontId="8" fillId="0" borderId="2" xfId="1" applyFont="1" applyFill="1" applyBorder="1" applyAlignment="1">
      <alignment horizontal="center" vertical="top" wrapText="1"/>
    </xf>
    <xf numFmtId="2" fontId="10" fillId="0" borderId="2" xfId="0" applyNumberFormat="1" applyFont="1" applyFill="1" applyBorder="1" applyAlignment="1">
      <alignment horizontal="center" vertical="top" wrapText="1"/>
    </xf>
    <xf numFmtId="1" fontId="8" fillId="0" borderId="2" xfId="0" applyNumberFormat="1" applyFont="1" applyFill="1" applyBorder="1" applyAlignment="1">
      <alignment horizontal="center" vertical="top" wrapText="1"/>
    </xf>
    <xf numFmtId="2" fontId="9" fillId="6" borderId="2" xfId="0" applyNumberFormat="1" applyFont="1" applyFill="1" applyBorder="1" applyAlignment="1">
      <alignment horizontal="center" vertical="top" wrapText="1"/>
    </xf>
    <xf numFmtId="49" fontId="9" fillId="6" borderId="2" xfId="0" applyNumberFormat="1" applyFont="1" applyFill="1" applyBorder="1" applyAlignment="1">
      <alignment horizontal="center" vertical="top" wrapText="1"/>
    </xf>
    <xf numFmtId="1" fontId="9" fillId="6" borderId="2" xfId="0" applyNumberFormat="1" applyFont="1" applyFill="1" applyBorder="1" applyAlignment="1">
      <alignment horizontal="center" vertical="top" wrapText="1"/>
    </xf>
    <xf numFmtId="165" fontId="9" fillId="6" borderId="2" xfId="1" applyFont="1" applyFill="1" applyBorder="1" applyAlignment="1">
      <alignment horizontal="center" vertical="top" wrapText="1"/>
    </xf>
    <xf numFmtId="2" fontId="8" fillId="0" borderId="2" xfId="0" applyNumberFormat="1" applyFont="1" applyFill="1" applyBorder="1" applyAlignment="1">
      <alignment horizontal="center" vertical="top" wrapText="1"/>
    </xf>
    <xf numFmtId="2" fontId="6" fillId="0" borderId="2" xfId="2" applyNumberFormat="1" applyFont="1" applyFill="1" applyBorder="1" applyAlignment="1">
      <alignment horizontal="center" vertical="top" wrapText="1"/>
    </xf>
    <xf numFmtId="165" fontId="6" fillId="0" borderId="2" xfId="1" applyNumberFormat="1" applyFont="1" applyFill="1" applyBorder="1" applyAlignment="1">
      <alignment horizontal="center" vertical="top" wrapText="1"/>
    </xf>
    <xf numFmtId="165" fontId="6" fillId="0" borderId="2" xfId="1" applyFont="1" applyFill="1" applyBorder="1" applyAlignment="1">
      <alignment horizontal="center" vertical="top" wrapText="1"/>
    </xf>
    <xf numFmtId="49" fontId="6" fillId="0" borderId="2" xfId="2" applyNumberFormat="1" applyFont="1" applyFill="1" applyBorder="1" applyAlignment="1">
      <alignment horizontal="center" vertical="top" wrapText="1"/>
    </xf>
    <xf numFmtId="165" fontId="6" fillId="0" borderId="2" xfId="1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 wrapText="1"/>
    </xf>
    <xf numFmtId="2" fontId="9" fillId="5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top" wrapText="1"/>
    </xf>
    <xf numFmtId="49" fontId="9" fillId="0" borderId="2" xfId="0" applyNumberFormat="1" applyFont="1" applyBorder="1" applyAlignment="1">
      <alignment horizontal="center" vertical="top" wrapText="1"/>
    </xf>
    <xf numFmtId="165" fontId="9" fillId="0" borderId="2" xfId="1" applyFont="1" applyBorder="1" applyAlignment="1">
      <alignment horizontal="center" vertical="top" wrapText="1"/>
    </xf>
    <xf numFmtId="2" fontId="9" fillId="4" borderId="2" xfId="0" applyNumberFormat="1" applyFont="1" applyFill="1" applyBorder="1" applyAlignment="1">
      <alignment horizontal="center" vertical="top" wrapText="1"/>
    </xf>
    <xf numFmtId="49" fontId="9" fillId="4" borderId="2" xfId="0" applyNumberFormat="1" applyFont="1" applyFill="1" applyBorder="1" applyAlignment="1">
      <alignment horizontal="center" vertical="top" wrapText="1"/>
    </xf>
    <xf numFmtId="165" fontId="9" fillId="4" borderId="2" xfId="1" applyFont="1" applyFill="1" applyBorder="1" applyAlignment="1">
      <alignment horizontal="center" vertical="top" wrapText="1"/>
    </xf>
    <xf numFmtId="2" fontId="7" fillId="2" borderId="0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left" vertical="top"/>
    </xf>
    <xf numFmtId="2" fontId="9" fillId="4" borderId="3" xfId="0" applyNumberFormat="1" applyFont="1" applyFill="1" applyBorder="1" applyAlignment="1">
      <alignment horizontal="center" vertical="center" wrapText="1"/>
    </xf>
    <xf numFmtId="2" fontId="9" fillId="4" borderId="4" xfId="0" applyNumberFormat="1" applyFont="1" applyFill="1" applyBorder="1" applyAlignment="1">
      <alignment horizontal="center" vertical="center" wrapText="1"/>
    </xf>
    <xf numFmtId="2" fontId="9" fillId="5" borderId="3" xfId="0" applyNumberFormat="1" applyFont="1" applyFill="1" applyBorder="1" applyAlignment="1">
      <alignment horizontal="center" vertical="center" wrapText="1"/>
    </xf>
    <xf numFmtId="2" fontId="9" fillId="5" borderId="5" xfId="0" applyNumberFormat="1" applyFont="1" applyFill="1" applyBorder="1" applyAlignment="1">
      <alignment horizontal="center" vertical="center" wrapText="1"/>
    </xf>
    <xf numFmtId="2" fontId="6" fillId="0" borderId="0" xfId="4" applyNumberFormat="1" applyFont="1" applyAlignment="1">
      <alignment horizontal="left" vertical="top" wrapText="1"/>
    </xf>
    <xf numFmtId="2" fontId="9" fillId="6" borderId="2" xfId="0" applyNumberFormat="1" applyFont="1" applyFill="1" applyBorder="1" applyAlignment="1">
      <alignment horizontal="center" vertical="top" wrapText="1"/>
    </xf>
    <xf numFmtId="2" fontId="9" fillId="4" borderId="2" xfId="0" applyNumberFormat="1" applyFont="1" applyFill="1" applyBorder="1" applyAlignment="1">
      <alignment horizontal="center" vertical="top" wrapText="1"/>
    </xf>
    <xf numFmtId="2" fontId="9" fillId="5" borderId="2" xfId="0" applyNumberFormat="1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11" xfId="4"/>
    <cellStyle name="Обычный 12" xfId="5"/>
    <cellStyle name="Обычный 2" xfId="6"/>
    <cellStyle name="Обычный 4 2" xfId="2"/>
    <cellStyle name="Финансовый" xfId="1" builtinId="3"/>
    <cellStyle name="Финансовый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4"/>
  <sheetViews>
    <sheetView topLeftCell="A109" zoomScale="85" zoomScaleNormal="85" workbookViewId="0">
      <selection activeCell="H111" sqref="H111"/>
    </sheetView>
  </sheetViews>
  <sheetFormatPr defaultRowHeight="15.75" x14ac:dyDescent="0.25"/>
  <cols>
    <col min="1" max="1" width="2.42578125" style="6" customWidth="1"/>
    <col min="2" max="2" width="6.28515625" style="9" customWidth="1"/>
    <col min="3" max="3" width="19.85546875" style="6" customWidth="1"/>
    <col min="4" max="4" width="14.42578125" style="6" customWidth="1"/>
    <col min="5" max="5" width="36.140625" style="54" customWidth="1"/>
    <col min="6" max="6" width="11.140625" style="9" customWidth="1"/>
    <col min="7" max="7" width="11" style="6" customWidth="1"/>
    <col min="8" max="8" width="19.28515625" style="71" customWidth="1"/>
    <col min="9" max="9" width="25.28515625" style="71" customWidth="1"/>
    <col min="10" max="10" width="15.42578125" style="10" customWidth="1"/>
    <col min="11" max="16384" width="9.140625" style="7"/>
  </cols>
  <sheetData>
    <row r="1" spans="1:10" s="4" customFormat="1" x14ac:dyDescent="0.25">
      <c r="A1" s="1"/>
      <c r="B1" s="2"/>
      <c r="C1" s="1"/>
      <c r="D1" s="1"/>
      <c r="E1" s="53"/>
      <c r="F1" s="3"/>
      <c r="G1" s="119" t="s">
        <v>223</v>
      </c>
      <c r="H1" s="119"/>
      <c r="I1" s="119"/>
      <c r="J1" s="67"/>
    </row>
    <row r="2" spans="1:10" s="4" customFormat="1" x14ac:dyDescent="0.25">
      <c r="A2" s="1"/>
      <c r="B2" s="2"/>
      <c r="C2" s="1"/>
      <c r="D2" s="1"/>
      <c r="E2" s="53"/>
      <c r="F2" s="3"/>
      <c r="G2" s="119" t="s">
        <v>237</v>
      </c>
      <c r="H2" s="119"/>
      <c r="I2" s="119"/>
      <c r="J2" s="5"/>
    </row>
    <row r="3" spans="1:10" x14ac:dyDescent="0.25">
      <c r="B3" s="120" t="s">
        <v>0</v>
      </c>
      <c r="C3" s="120"/>
      <c r="D3" s="120"/>
      <c r="E3" s="120"/>
      <c r="F3" s="120"/>
      <c r="G3" s="120"/>
      <c r="H3" s="120"/>
      <c r="I3" s="120"/>
      <c r="J3" s="49"/>
    </row>
    <row r="4" spans="1:10" x14ac:dyDescent="0.25">
      <c r="B4" s="120" t="s">
        <v>1</v>
      </c>
      <c r="C4" s="120"/>
      <c r="D4" s="120"/>
      <c r="E4" s="120"/>
      <c r="F4" s="120"/>
      <c r="G4" s="120"/>
      <c r="H4" s="120"/>
      <c r="I4" s="120"/>
      <c r="J4" s="49"/>
    </row>
    <row r="5" spans="1:10" x14ac:dyDescent="0.25">
      <c r="B5" s="8"/>
    </row>
    <row r="6" spans="1:10" s="15" customFormat="1" ht="63" x14ac:dyDescent="0.25">
      <c r="A6" s="11"/>
      <c r="B6" s="12" t="s">
        <v>2</v>
      </c>
      <c r="C6" s="13" t="s">
        <v>3</v>
      </c>
      <c r="D6" s="14" t="s">
        <v>4</v>
      </c>
      <c r="E6" s="55" t="s">
        <v>5</v>
      </c>
      <c r="F6" s="12" t="s">
        <v>6</v>
      </c>
      <c r="G6" s="13" t="s">
        <v>7</v>
      </c>
      <c r="H6" s="72" t="s">
        <v>8</v>
      </c>
      <c r="I6" s="72" t="s">
        <v>9</v>
      </c>
    </row>
    <row r="7" spans="1:10" s="18" customFormat="1" x14ac:dyDescent="0.25">
      <c r="A7" s="9"/>
      <c r="B7" s="16">
        <v>1</v>
      </c>
      <c r="C7" s="16">
        <v>2</v>
      </c>
      <c r="D7" s="16">
        <v>3</v>
      </c>
      <c r="E7" s="56">
        <v>4</v>
      </c>
      <c r="F7" s="16">
        <v>5</v>
      </c>
      <c r="G7" s="16">
        <v>6</v>
      </c>
      <c r="H7" s="83">
        <v>7</v>
      </c>
      <c r="I7" s="83">
        <v>8</v>
      </c>
    </row>
    <row r="8" spans="1:10" x14ac:dyDescent="0.25">
      <c r="B8" s="122" t="s">
        <v>10</v>
      </c>
      <c r="C8" s="123"/>
      <c r="D8" s="50"/>
      <c r="E8" s="57"/>
      <c r="F8" s="50"/>
      <c r="G8" s="50"/>
      <c r="H8" s="79"/>
      <c r="I8" s="73"/>
      <c r="J8" s="7"/>
    </row>
    <row r="9" spans="1:10" ht="141.75" x14ac:dyDescent="0.25">
      <c r="B9" s="16">
        <v>1</v>
      </c>
      <c r="C9" s="19" t="s">
        <v>11</v>
      </c>
      <c r="D9" s="20" t="s">
        <v>228</v>
      </c>
      <c r="E9" s="58" t="s">
        <v>13</v>
      </c>
      <c r="F9" s="21">
        <v>800</v>
      </c>
      <c r="G9" s="22" t="s">
        <v>14</v>
      </c>
      <c r="H9" s="74">
        <f>50/1.12</f>
        <v>44.642857142857139</v>
      </c>
      <c r="I9" s="74">
        <f>F9*H9</f>
        <v>35714.28571428571</v>
      </c>
      <c r="J9" s="7"/>
    </row>
    <row r="10" spans="1:10" ht="78.75" x14ac:dyDescent="0.25">
      <c r="B10" s="16">
        <v>2</v>
      </c>
      <c r="C10" s="19" t="s">
        <v>15</v>
      </c>
      <c r="D10" s="20" t="s">
        <v>228</v>
      </c>
      <c r="E10" s="58" t="s">
        <v>16</v>
      </c>
      <c r="F10" s="21">
        <v>500</v>
      </c>
      <c r="G10" s="22" t="s">
        <v>14</v>
      </c>
      <c r="H10" s="74">
        <f>105/1.12</f>
        <v>93.749999999999986</v>
      </c>
      <c r="I10" s="74">
        <f t="shared" ref="I10:I73" si="0">F10*H10</f>
        <v>46874.999999999993</v>
      </c>
      <c r="J10" s="7"/>
    </row>
    <row r="11" spans="1:10" ht="173.25" x14ac:dyDescent="0.25">
      <c r="B11" s="16">
        <v>3</v>
      </c>
      <c r="C11" s="19" t="s">
        <v>17</v>
      </c>
      <c r="D11" s="20" t="s">
        <v>228</v>
      </c>
      <c r="E11" s="58" t="s">
        <v>18</v>
      </c>
      <c r="F11" s="21">
        <v>200</v>
      </c>
      <c r="G11" s="22" t="s">
        <v>14</v>
      </c>
      <c r="H11" s="74">
        <f>2225/1.12</f>
        <v>1986.6071428571427</v>
      </c>
      <c r="I11" s="74">
        <f t="shared" si="0"/>
        <v>397321.42857142852</v>
      </c>
      <c r="J11" s="7"/>
    </row>
    <row r="12" spans="1:10" ht="189" x14ac:dyDescent="0.25">
      <c r="B12" s="16">
        <v>4</v>
      </c>
      <c r="C12" s="19" t="s">
        <v>19</v>
      </c>
      <c r="D12" s="20" t="s">
        <v>228</v>
      </c>
      <c r="E12" s="58" t="s">
        <v>20</v>
      </c>
      <c r="F12" s="21">
        <v>500</v>
      </c>
      <c r="G12" s="22" t="s">
        <v>14</v>
      </c>
      <c r="H12" s="74">
        <f>1083/1.12</f>
        <v>966.96428571428567</v>
      </c>
      <c r="I12" s="74">
        <f t="shared" si="0"/>
        <v>483482.14285714284</v>
      </c>
      <c r="J12" s="7"/>
    </row>
    <row r="13" spans="1:10" ht="63" x14ac:dyDescent="0.25">
      <c r="B13" s="16">
        <v>5</v>
      </c>
      <c r="C13" s="19" t="s">
        <v>21</v>
      </c>
      <c r="D13" s="20" t="s">
        <v>228</v>
      </c>
      <c r="E13" s="58" t="s">
        <v>22</v>
      </c>
      <c r="F13" s="21">
        <v>100</v>
      </c>
      <c r="G13" s="22" t="s">
        <v>14</v>
      </c>
      <c r="H13" s="74">
        <f>1000/1.12</f>
        <v>892.85714285714278</v>
      </c>
      <c r="I13" s="74">
        <f t="shared" si="0"/>
        <v>89285.714285714275</v>
      </c>
      <c r="J13" s="7"/>
    </row>
    <row r="14" spans="1:10" ht="126" x14ac:dyDescent="0.25">
      <c r="B14" s="16">
        <v>6</v>
      </c>
      <c r="C14" s="19" t="s">
        <v>23</v>
      </c>
      <c r="D14" s="20" t="s">
        <v>228</v>
      </c>
      <c r="E14" s="58" t="s">
        <v>24</v>
      </c>
      <c r="F14" s="21">
        <v>800</v>
      </c>
      <c r="G14" s="22" t="s">
        <v>14</v>
      </c>
      <c r="H14" s="74">
        <f>550/1.12</f>
        <v>491.0714285714285</v>
      </c>
      <c r="I14" s="74">
        <f t="shared" si="0"/>
        <v>392857.14285714278</v>
      </c>
      <c r="J14" s="7"/>
    </row>
    <row r="15" spans="1:10" ht="173.25" x14ac:dyDescent="0.25">
      <c r="B15" s="16">
        <v>7</v>
      </c>
      <c r="C15" s="22" t="s">
        <v>25</v>
      </c>
      <c r="D15" s="20" t="s">
        <v>228</v>
      </c>
      <c r="E15" s="59" t="s">
        <v>26</v>
      </c>
      <c r="F15" s="23">
        <v>156</v>
      </c>
      <c r="G15" s="22" t="s">
        <v>27</v>
      </c>
      <c r="H15" s="74">
        <f>550/1.12</f>
        <v>491.0714285714285</v>
      </c>
      <c r="I15" s="74">
        <f t="shared" si="0"/>
        <v>76607.142857142841</v>
      </c>
      <c r="J15" s="7"/>
    </row>
    <row r="16" spans="1:10" ht="78.75" x14ac:dyDescent="0.25">
      <c r="B16" s="16">
        <v>8</v>
      </c>
      <c r="C16" s="24" t="s">
        <v>28</v>
      </c>
      <c r="D16" s="20" t="s">
        <v>228</v>
      </c>
      <c r="E16" s="59" t="s">
        <v>29</v>
      </c>
      <c r="F16" s="21">
        <v>10</v>
      </c>
      <c r="G16" s="24" t="s">
        <v>14</v>
      </c>
      <c r="H16" s="74">
        <f>115/1.12</f>
        <v>102.67857142857142</v>
      </c>
      <c r="I16" s="74">
        <f t="shared" si="0"/>
        <v>1026.7857142857142</v>
      </c>
      <c r="J16" s="7"/>
    </row>
    <row r="17" spans="2:9" s="7" customFormat="1" ht="78.75" x14ac:dyDescent="0.25">
      <c r="B17" s="16">
        <v>9</v>
      </c>
      <c r="C17" s="24" t="s">
        <v>30</v>
      </c>
      <c r="D17" s="20" t="s">
        <v>228</v>
      </c>
      <c r="E17" s="59" t="s">
        <v>31</v>
      </c>
      <c r="F17" s="21">
        <v>232</v>
      </c>
      <c r="G17" s="24" t="s">
        <v>32</v>
      </c>
      <c r="H17" s="74">
        <f>600/1.12</f>
        <v>535.71428571428567</v>
      </c>
      <c r="I17" s="74">
        <f t="shared" si="0"/>
        <v>124285.71428571428</v>
      </c>
    </row>
    <row r="18" spans="2:9" s="7" customFormat="1" ht="63" x14ac:dyDescent="0.25">
      <c r="B18" s="16">
        <v>10</v>
      </c>
      <c r="C18" s="24" t="s">
        <v>33</v>
      </c>
      <c r="D18" s="20" t="s">
        <v>228</v>
      </c>
      <c r="E18" s="59" t="s">
        <v>34</v>
      </c>
      <c r="F18" s="21">
        <v>40</v>
      </c>
      <c r="G18" s="24" t="s">
        <v>32</v>
      </c>
      <c r="H18" s="74">
        <f>1990/1.12</f>
        <v>1776.7857142857142</v>
      </c>
      <c r="I18" s="74">
        <f t="shared" si="0"/>
        <v>71071.428571428565</v>
      </c>
    </row>
    <row r="19" spans="2:9" s="7" customFormat="1" ht="63" x14ac:dyDescent="0.25">
      <c r="B19" s="16">
        <v>11</v>
      </c>
      <c r="C19" s="24" t="s">
        <v>35</v>
      </c>
      <c r="D19" s="20" t="s">
        <v>228</v>
      </c>
      <c r="E19" s="59" t="s">
        <v>36</v>
      </c>
      <c r="F19" s="21">
        <v>8</v>
      </c>
      <c r="G19" s="24" t="s">
        <v>32</v>
      </c>
      <c r="H19" s="74">
        <f>110/1.12</f>
        <v>98.214285714285708</v>
      </c>
      <c r="I19" s="74">
        <f t="shared" si="0"/>
        <v>785.71428571428567</v>
      </c>
    </row>
    <row r="20" spans="2:9" s="7" customFormat="1" ht="63" x14ac:dyDescent="0.25">
      <c r="B20" s="16">
        <v>12</v>
      </c>
      <c r="C20" s="24" t="s">
        <v>37</v>
      </c>
      <c r="D20" s="20" t="s">
        <v>228</v>
      </c>
      <c r="E20" s="59" t="s">
        <v>38</v>
      </c>
      <c r="F20" s="21">
        <v>8</v>
      </c>
      <c r="G20" s="24" t="s">
        <v>32</v>
      </c>
      <c r="H20" s="74">
        <f>115/1.12</f>
        <v>102.67857142857142</v>
      </c>
      <c r="I20" s="74">
        <f t="shared" si="0"/>
        <v>821.42857142857133</v>
      </c>
    </row>
    <row r="21" spans="2:9" s="7" customFormat="1" ht="63" x14ac:dyDescent="0.25">
      <c r="B21" s="16">
        <v>13</v>
      </c>
      <c r="C21" s="24" t="s">
        <v>39</v>
      </c>
      <c r="D21" s="20" t="s">
        <v>228</v>
      </c>
      <c r="E21" s="59" t="s">
        <v>40</v>
      </c>
      <c r="F21" s="21">
        <v>8</v>
      </c>
      <c r="G21" s="24" t="s">
        <v>32</v>
      </c>
      <c r="H21" s="74">
        <f>125/1.12</f>
        <v>111.60714285714285</v>
      </c>
      <c r="I21" s="74">
        <f t="shared" si="0"/>
        <v>892.85714285714278</v>
      </c>
    </row>
    <row r="22" spans="2:9" s="7" customFormat="1" ht="78.75" x14ac:dyDescent="0.25">
      <c r="B22" s="16">
        <v>14</v>
      </c>
      <c r="C22" s="25" t="s">
        <v>41</v>
      </c>
      <c r="D22" s="20" t="s">
        <v>228</v>
      </c>
      <c r="E22" s="59" t="s">
        <v>42</v>
      </c>
      <c r="F22" s="21">
        <v>1</v>
      </c>
      <c r="G22" s="24" t="s">
        <v>32</v>
      </c>
      <c r="H22" s="74">
        <f>1600/1.12</f>
        <v>1428.5714285714284</v>
      </c>
      <c r="I22" s="74">
        <f t="shared" si="0"/>
        <v>1428.5714285714284</v>
      </c>
    </row>
    <row r="23" spans="2:9" s="7" customFormat="1" ht="94.5" x14ac:dyDescent="0.25">
      <c r="B23" s="16">
        <v>15</v>
      </c>
      <c r="C23" s="24" t="s">
        <v>43</v>
      </c>
      <c r="D23" s="20" t="s">
        <v>228</v>
      </c>
      <c r="E23" s="59" t="s">
        <v>44</v>
      </c>
      <c r="F23" s="21">
        <v>50</v>
      </c>
      <c r="G23" s="26" t="s">
        <v>14</v>
      </c>
      <c r="H23" s="74">
        <f>10/1.12</f>
        <v>8.928571428571427</v>
      </c>
      <c r="I23" s="74">
        <f t="shared" si="0"/>
        <v>446.42857142857133</v>
      </c>
    </row>
    <row r="24" spans="2:9" s="7" customFormat="1" ht="63" x14ac:dyDescent="0.25">
      <c r="B24" s="16">
        <v>16</v>
      </c>
      <c r="C24" s="24" t="s">
        <v>45</v>
      </c>
      <c r="D24" s="20" t="s">
        <v>228</v>
      </c>
      <c r="E24" s="59" t="s">
        <v>46</v>
      </c>
      <c r="F24" s="21">
        <v>1</v>
      </c>
      <c r="G24" s="26" t="s">
        <v>14</v>
      </c>
      <c r="H24" s="74">
        <f>300/1.12</f>
        <v>267.85714285714283</v>
      </c>
      <c r="I24" s="74">
        <f t="shared" si="0"/>
        <v>267.85714285714283</v>
      </c>
    </row>
    <row r="25" spans="2:9" s="7" customFormat="1" ht="63" x14ac:dyDescent="0.25">
      <c r="B25" s="16">
        <v>17</v>
      </c>
      <c r="C25" s="24" t="s">
        <v>47</v>
      </c>
      <c r="D25" s="20" t="s">
        <v>228</v>
      </c>
      <c r="E25" s="59" t="s">
        <v>48</v>
      </c>
      <c r="F25" s="21">
        <v>4</v>
      </c>
      <c r="G25" s="26" t="s">
        <v>14</v>
      </c>
      <c r="H25" s="74">
        <f>410/1.12</f>
        <v>366.07142857142856</v>
      </c>
      <c r="I25" s="74">
        <f t="shared" si="0"/>
        <v>1464.2857142857142</v>
      </c>
    </row>
    <row r="26" spans="2:9" s="7" customFormat="1" ht="78.75" x14ac:dyDescent="0.25">
      <c r="B26" s="16">
        <v>18</v>
      </c>
      <c r="C26" s="24" t="s">
        <v>49</v>
      </c>
      <c r="D26" s="20" t="s">
        <v>228</v>
      </c>
      <c r="E26" s="59" t="s">
        <v>50</v>
      </c>
      <c r="F26" s="21">
        <v>6</v>
      </c>
      <c r="G26" s="26" t="s">
        <v>14</v>
      </c>
      <c r="H26" s="74">
        <f>570/1.12</f>
        <v>508.92857142857139</v>
      </c>
      <c r="I26" s="74">
        <f t="shared" si="0"/>
        <v>3053.5714285714284</v>
      </c>
    </row>
    <row r="27" spans="2:9" s="7" customFormat="1" ht="78.75" x14ac:dyDescent="0.25">
      <c r="B27" s="16">
        <v>19</v>
      </c>
      <c r="C27" s="24" t="s">
        <v>51</v>
      </c>
      <c r="D27" s="20" t="s">
        <v>228</v>
      </c>
      <c r="E27" s="59" t="s">
        <v>52</v>
      </c>
      <c r="F27" s="21">
        <v>1</v>
      </c>
      <c r="G27" s="26" t="s">
        <v>14</v>
      </c>
      <c r="H27" s="74">
        <f>2500/1.12</f>
        <v>2232.1428571428569</v>
      </c>
      <c r="I27" s="74">
        <f t="shared" si="0"/>
        <v>2232.1428571428569</v>
      </c>
    </row>
    <row r="28" spans="2:9" s="7" customFormat="1" ht="78.75" x14ac:dyDescent="0.25">
      <c r="B28" s="16">
        <v>20</v>
      </c>
      <c r="C28" s="24" t="s">
        <v>53</v>
      </c>
      <c r="D28" s="20" t="s">
        <v>228</v>
      </c>
      <c r="E28" s="59" t="s">
        <v>54</v>
      </c>
      <c r="F28" s="21">
        <v>11</v>
      </c>
      <c r="G28" s="24" t="s">
        <v>14</v>
      </c>
      <c r="H28" s="74">
        <f>700/1.12</f>
        <v>624.99999999999989</v>
      </c>
      <c r="I28" s="74">
        <f t="shared" si="0"/>
        <v>6874.9999999999991</v>
      </c>
    </row>
    <row r="29" spans="2:9" s="7" customFormat="1" ht="94.5" x14ac:dyDescent="0.25">
      <c r="B29" s="16">
        <v>21</v>
      </c>
      <c r="C29" s="24" t="s">
        <v>55</v>
      </c>
      <c r="D29" s="20" t="s">
        <v>228</v>
      </c>
      <c r="E29" s="59" t="s">
        <v>56</v>
      </c>
      <c r="F29" s="21">
        <v>20</v>
      </c>
      <c r="G29" s="24" t="s">
        <v>57</v>
      </c>
      <c r="H29" s="74">
        <f>120/1.12</f>
        <v>107.14285714285714</v>
      </c>
      <c r="I29" s="74">
        <f t="shared" si="0"/>
        <v>2142.8571428571427</v>
      </c>
    </row>
    <row r="30" spans="2:9" s="7" customFormat="1" ht="94.5" x14ac:dyDescent="0.25">
      <c r="B30" s="16">
        <v>22</v>
      </c>
      <c r="C30" s="24" t="s">
        <v>58</v>
      </c>
      <c r="D30" s="20" t="s">
        <v>228</v>
      </c>
      <c r="E30" s="59" t="s">
        <v>59</v>
      </c>
      <c r="F30" s="21">
        <v>10</v>
      </c>
      <c r="G30" s="24" t="s">
        <v>57</v>
      </c>
      <c r="H30" s="74">
        <f>150/1.12</f>
        <v>133.92857142857142</v>
      </c>
      <c r="I30" s="74">
        <f t="shared" si="0"/>
        <v>1339.2857142857142</v>
      </c>
    </row>
    <row r="31" spans="2:9" s="7" customFormat="1" ht="94.5" x14ac:dyDescent="0.25">
      <c r="B31" s="16">
        <v>23</v>
      </c>
      <c r="C31" s="24" t="s">
        <v>60</v>
      </c>
      <c r="D31" s="20" t="s">
        <v>228</v>
      </c>
      <c r="E31" s="59" t="s">
        <v>61</v>
      </c>
      <c r="F31" s="21">
        <v>7</v>
      </c>
      <c r="G31" s="24" t="s">
        <v>57</v>
      </c>
      <c r="H31" s="74">
        <f>350/1.12</f>
        <v>312.49999999999994</v>
      </c>
      <c r="I31" s="74">
        <f t="shared" si="0"/>
        <v>2187.4999999999995</v>
      </c>
    </row>
    <row r="32" spans="2:9" s="7" customFormat="1" ht="94.5" x14ac:dyDescent="0.25">
      <c r="B32" s="16">
        <v>24</v>
      </c>
      <c r="C32" s="24" t="s">
        <v>62</v>
      </c>
      <c r="D32" s="20" t="s">
        <v>228</v>
      </c>
      <c r="E32" s="59" t="s">
        <v>63</v>
      </c>
      <c r="F32" s="21">
        <v>7</v>
      </c>
      <c r="G32" s="24" t="s">
        <v>57</v>
      </c>
      <c r="H32" s="74">
        <f>500/1.12</f>
        <v>446.42857142857139</v>
      </c>
      <c r="I32" s="74">
        <f t="shared" si="0"/>
        <v>3124.9999999999995</v>
      </c>
    </row>
    <row r="33" spans="2:9" s="7" customFormat="1" ht="94.5" x14ac:dyDescent="0.25">
      <c r="B33" s="16">
        <v>25</v>
      </c>
      <c r="C33" s="24" t="s">
        <v>64</v>
      </c>
      <c r="D33" s="20" t="s">
        <v>228</v>
      </c>
      <c r="E33" s="59" t="s">
        <v>65</v>
      </c>
      <c r="F33" s="21">
        <v>7</v>
      </c>
      <c r="G33" s="24" t="s">
        <v>57</v>
      </c>
      <c r="H33" s="74">
        <f>750/1.12</f>
        <v>669.64285714285711</v>
      </c>
      <c r="I33" s="74">
        <f t="shared" si="0"/>
        <v>4687.5</v>
      </c>
    </row>
    <row r="34" spans="2:9" s="7" customFormat="1" ht="110.25" x14ac:dyDescent="0.25">
      <c r="B34" s="16">
        <v>26</v>
      </c>
      <c r="C34" s="25" t="s">
        <v>66</v>
      </c>
      <c r="D34" s="20" t="s">
        <v>228</v>
      </c>
      <c r="E34" s="59" t="s">
        <v>67</v>
      </c>
      <c r="F34" s="21">
        <v>40</v>
      </c>
      <c r="G34" s="24" t="s">
        <v>32</v>
      </c>
      <c r="H34" s="74">
        <f>200/1.12</f>
        <v>178.57142857142856</v>
      </c>
      <c r="I34" s="74">
        <f t="shared" si="0"/>
        <v>7142.8571428571422</v>
      </c>
    </row>
    <row r="35" spans="2:9" s="7" customFormat="1" ht="110.25" x14ac:dyDescent="0.25">
      <c r="B35" s="16">
        <v>27</v>
      </c>
      <c r="C35" s="24" t="s">
        <v>68</v>
      </c>
      <c r="D35" s="20" t="s">
        <v>228</v>
      </c>
      <c r="E35" s="59" t="s">
        <v>69</v>
      </c>
      <c r="F35" s="21">
        <v>3</v>
      </c>
      <c r="G35" s="26" t="s">
        <v>14</v>
      </c>
      <c r="H35" s="74">
        <f>3000/1.12</f>
        <v>2678.5714285714284</v>
      </c>
      <c r="I35" s="74">
        <f t="shared" si="0"/>
        <v>8035.7142857142853</v>
      </c>
    </row>
    <row r="36" spans="2:9" s="7" customFormat="1" ht="63" x14ac:dyDescent="0.25">
      <c r="B36" s="16">
        <v>28</v>
      </c>
      <c r="C36" s="24" t="s">
        <v>70</v>
      </c>
      <c r="D36" s="20" t="s">
        <v>228</v>
      </c>
      <c r="E36" s="59" t="s">
        <v>71</v>
      </c>
      <c r="F36" s="21">
        <v>10</v>
      </c>
      <c r="G36" s="24" t="s">
        <v>14</v>
      </c>
      <c r="H36" s="74">
        <f>85/1.12</f>
        <v>75.892857142857139</v>
      </c>
      <c r="I36" s="74">
        <f t="shared" si="0"/>
        <v>758.92857142857133</v>
      </c>
    </row>
    <row r="37" spans="2:9" s="7" customFormat="1" ht="126" x14ac:dyDescent="0.25">
      <c r="B37" s="16">
        <v>29</v>
      </c>
      <c r="C37" s="24" t="s">
        <v>72</v>
      </c>
      <c r="D37" s="20" t="s">
        <v>228</v>
      </c>
      <c r="E37" s="59" t="s">
        <v>73</v>
      </c>
      <c r="F37" s="21">
        <v>10</v>
      </c>
      <c r="G37" s="24" t="s">
        <v>14</v>
      </c>
      <c r="H37" s="74">
        <f>200/1.12</f>
        <v>178.57142857142856</v>
      </c>
      <c r="I37" s="74">
        <f t="shared" si="0"/>
        <v>1785.7142857142856</v>
      </c>
    </row>
    <row r="38" spans="2:9" s="7" customFormat="1" ht="94.5" x14ac:dyDescent="0.25">
      <c r="B38" s="16">
        <v>30</v>
      </c>
      <c r="C38" s="25" t="s">
        <v>74</v>
      </c>
      <c r="D38" s="20" t="s">
        <v>228</v>
      </c>
      <c r="E38" s="59" t="s">
        <v>75</v>
      </c>
      <c r="F38" s="21">
        <v>15</v>
      </c>
      <c r="G38" s="24" t="s">
        <v>14</v>
      </c>
      <c r="H38" s="74">
        <f>250/1.12</f>
        <v>223.21428571428569</v>
      </c>
      <c r="I38" s="74">
        <f t="shared" si="0"/>
        <v>3348.2142857142853</v>
      </c>
    </row>
    <row r="39" spans="2:9" s="7" customFormat="1" ht="63" x14ac:dyDescent="0.25">
      <c r="B39" s="16">
        <v>31</v>
      </c>
      <c r="C39" s="24" t="s">
        <v>76</v>
      </c>
      <c r="D39" s="20" t="s">
        <v>228</v>
      </c>
      <c r="E39" s="59" t="s">
        <v>77</v>
      </c>
      <c r="F39" s="21">
        <v>10</v>
      </c>
      <c r="G39" s="24" t="s">
        <v>14</v>
      </c>
      <c r="H39" s="74">
        <f>100/1.12</f>
        <v>89.285714285714278</v>
      </c>
      <c r="I39" s="74">
        <f t="shared" si="0"/>
        <v>892.85714285714278</v>
      </c>
    </row>
    <row r="40" spans="2:9" s="7" customFormat="1" ht="63" x14ac:dyDescent="0.25">
      <c r="B40" s="16">
        <v>32</v>
      </c>
      <c r="C40" s="24" t="s">
        <v>78</v>
      </c>
      <c r="D40" s="20" t="s">
        <v>228</v>
      </c>
      <c r="E40" s="59" t="s">
        <v>79</v>
      </c>
      <c r="F40" s="21">
        <v>5</v>
      </c>
      <c r="G40" s="24" t="s">
        <v>14</v>
      </c>
      <c r="H40" s="74">
        <f>500/1.12</f>
        <v>446.42857142857139</v>
      </c>
      <c r="I40" s="74">
        <f t="shared" si="0"/>
        <v>2232.1428571428569</v>
      </c>
    </row>
    <row r="41" spans="2:9" s="7" customFormat="1" ht="63" x14ac:dyDescent="0.25">
      <c r="B41" s="16">
        <v>33</v>
      </c>
      <c r="C41" s="24" t="s">
        <v>80</v>
      </c>
      <c r="D41" s="20" t="s">
        <v>228</v>
      </c>
      <c r="E41" s="59" t="s">
        <v>81</v>
      </c>
      <c r="F41" s="21">
        <v>3</v>
      </c>
      <c r="G41" s="24" t="s">
        <v>32</v>
      </c>
      <c r="H41" s="74">
        <f>200/1.12</f>
        <v>178.57142857142856</v>
      </c>
      <c r="I41" s="74">
        <f t="shared" si="0"/>
        <v>535.71428571428567</v>
      </c>
    </row>
    <row r="42" spans="2:9" s="7" customFormat="1" ht="141.75" x14ac:dyDescent="0.25">
      <c r="B42" s="16">
        <v>34</v>
      </c>
      <c r="C42" s="24" t="s">
        <v>82</v>
      </c>
      <c r="D42" s="20" t="s">
        <v>228</v>
      </c>
      <c r="E42" s="59" t="s">
        <v>83</v>
      </c>
      <c r="F42" s="21">
        <v>200</v>
      </c>
      <c r="G42" s="24" t="s">
        <v>14</v>
      </c>
      <c r="H42" s="74">
        <f>30/1.12</f>
        <v>26.785714285714285</v>
      </c>
      <c r="I42" s="74">
        <f t="shared" si="0"/>
        <v>5357.1428571428569</v>
      </c>
    </row>
    <row r="43" spans="2:9" s="7" customFormat="1" ht="94.5" x14ac:dyDescent="0.25">
      <c r="B43" s="16">
        <v>35</v>
      </c>
      <c r="C43" s="24" t="s">
        <v>84</v>
      </c>
      <c r="D43" s="20" t="s">
        <v>228</v>
      </c>
      <c r="E43" s="59" t="s">
        <v>85</v>
      </c>
      <c r="F43" s="21">
        <v>200</v>
      </c>
      <c r="G43" s="24" t="s">
        <v>14</v>
      </c>
      <c r="H43" s="74">
        <f>10/1.12</f>
        <v>8.928571428571427</v>
      </c>
      <c r="I43" s="74">
        <f t="shared" si="0"/>
        <v>1785.7142857142853</v>
      </c>
    </row>
    <row r="44" spans="2:9" s="7" customFormat="1" ht="204.75" x14ac:dyDescent="0.25">
      <c r="B44" s="16">
        <v>36</v>
      </c>
      <c r="C44" s="24" t="s">
        <v>86</v>
      </c>
      <c r="D44" s="20" t="s">
        <v>228</v>
      </c>
      <c r="E44" s="59" t="s">
        <v>87</v>
      </c>
      <c r="F44" s="21">
        <v>350</v>
      </c>
      <c r="G44" s="24" t="s">
        <v>14</v>
      </c>
      <c r="H44" s="74">
        <f>77/1.12</f>
        <v>68.75</v>
      </c>
      <c r="I44" s="74">
        <f t="shared" si="0"/>
        <v>24062.5</v>
      </c>
    </row>
    <row r="45" spans="2:9" s="7" customFormat="1" ht="94.5" x14ac:dyDescent="0.25">
      <c r="B45" s="16">
        <v>37</v>
      </c>
      <c r="C45" s="24" t="s">
        <v>88</v>
      </c>
      <c r="D45" s="20" t="s">
        <v>228</v>
      </c>
      <c r="E45" s="59" t="s">
        <v>89</v>
      </c>
      <c r="F45" s="21">
        <v>1</v>
      </c>
      <c r="G45" s="24" t="s">
        <v>14</v>
      </c>
      <c r="H45" s="74">
        <f>500/1.12</f>
        <v>446.42857142857139</v>
      </c>
      <c r="I45" s="74">
        <f t="shared" si="0"/>
        <v>446.42857142857139</v>
      </c>
    </row>
    <row r="46" spans="2:9" s="7" customFormat="1" ht="94.5" x14ac:dyDescent="0.25">
      <c r="B46" s="16">
        <v>38</v>
      </c>
      <c r="C46" s="25" t="s">
        <v>90</v>
      </c>
      <c r="D46" s="20" t="s">
        <v>228</v>
      </c>
      <c r="E46" s="59" t="s">
        <v>91</v>
      </c>
      <c r="F46" s="21">
        <v>7</v>
      </c>
      <c r="G46" s="24" t="s">
        <v>14</v>
      </c>
      <c r="H46" s="74">
        <f>150/1.12</f>
        <v>133.92857142857142</v>
      </c>
      <c r="I46" s="74">
        <f t="shared" si="0"/>
        <v>937.49999999999989</v>
      </c>
    </row>
    <row r="47" spans="2:9" s="7" customFormat="1" ht="63" x14ac:dyDescent="0.25">
      <c r="B47" s="16">
        <v>39</v>
      </c>
      <c r="C47" s="25" t="s">
        <v>92</v>
      </c>
      <c r="D47" s="20" t="s">
        <v>228</v>
      </c>
      <c r="E47" s="59" t="s">
        <v>93</v>
      </c>
      <c r="F47" s="21">
        <v>5</v>
      </c>
      <c r="G47" s="24" t="s">
        <v>14</v>
      </c>
      <c r="H47" s="74">
        <f>400/1.12</f>
        <v>357.14285714285711</v>
      </c>
      <c r="I47" s="74">
        <f t="shared" si="0"/>
        <v>1785.7142857142856</v>
      </c>
    </row>
    <row r="48" spans="2:9" s="7" customFormat="1" ht="78.75" x14ac:dyDescent="0.25">
      <c r="B48" s="16">
        <v>40</v>
      </c>
      <c r="C48" s="24" t="s">
        <v>94</v>
      </c>
      <c r="D48" s="20" t="s">
        <v>228</v>
      </c>
      <c r="E48" s="59" t="s">
        <v>95</v>
      </c>
      <c r="F48" s="21">
        <v>5</v>
      </c>
      <c r="G48" s="24" t="s">
        <v>14</v>
      </c>
      <c r="H48" s="74">
        <f>25/1.12</f>
        <v>22.321428571428569</v>
      </c>
      <c r="I48" s="74">
        <f t="shared" si="0"/>
        <v>111.60714285714285</v>
      </c>
    </row>
    <row r="49" spans="2:9" s="7" customFormat="1" ht="94.5" x14ac:dyDescent="0.25">
      <c r="B49" s="16">
        <v>41</v>
      </c>
      <c r="C49" s="24" t="s">
        <v>96</v>
      </c>
      <c r="D49" s="20" t="s">
        <v>228</v>
      </c>
      <c r="E49" s="59" t="s">
        <v>213</v>
      </c>
      <c r="F49" s="21">
        <v>2</v>
      </c>
      <c r="G49" s="24" t="s">
        <v>32</v>
      </c>
      <c r="H49" s="74">
        <f>2500/1.12</f>
        <v>2232.1428571428569</v>
      </c>
      <c r="I49" s="74">
        <f t="shared" si="0"/>
        <v>4464.2857142857138</v>
      </c>
    </row>
    <row r="50" spans="2:9" s="7" customFormat="1" ht="94.5" x14ac:dyDescent="0.25">
      <c r="B50" s="16">
        <v>42</v>
      </c>
      <c r="C50" s="24" t="s">
        <v>97</v>
      </c>
      <c r="D50" s="20" t="s">
        <v>228</v>
      </c>
      <c r="E50" s="59" t="s">
        <v>214</v>
      </c>
      <c r="F50" s="21">
        <v>2</v>
      </c>
      <c r="G50" s="26" t="s">
        <v>32</v>
      </c>
      <c r="H50" s="74">
        <f>2500/1.12</f>
        <v>2232.1428571428569</v>
      </c>
      <c r="I50" s="74">
        <f t="shared" si="0"/>
        <v>4464.2857142857138</v>
      </c>
    </row>
    <row r="51" spans="2:9" s="7" customFormat="1" ht="63" x14ac:dyDescent="0.25">
      <c r="B51" s="16">
        <v>43</v>
      </c>
      <c r="C51" s="24" t="s">
        <v>98</v>
      </c>
      <c r="D51" s="20" t="s">
        <v>228</v>
      </c>
      <c r="E51" s="59" t="s">
        <v>99</v>
      </c>
      <c r="F51" s="21">
        <v>5</v>
      </c>
      <c r="G51" s="26" t="s">
        <v>14</v>
      </c>
      <c r="H51" s="74">
        <f>100/1.12</f>
        <v>89.285714285714278</v>
      </c>
      <c r="I51" s="74">
        <f t="shared" si="0"/>
        <v>446.42857142857139</v>
      </c>
    </row>
    <row r="52" spans="2:9" s="7" customFormat="1" ht="110.25" x14ac:dyDescent="0.25">
      <c r="B52" s="16">
        <v>44</v>
      </c>
      <c r="C52" s="24" t="s">
        <v>100</v>
      </c>
      <c r="D52" s="20" t="s">
        <v>228</v>
      </c>
      <c r="E52" s="59" t="s">
        <v>101</v>
      </c>
      <c r="F52" s="21">
        <v>5</v>
      </c>
      <c r="G52" s="26" t="s">
        <v>14</v>
      </c>
      <c r="H52" s="74">
        <f>1000/1.12</f>
        <v>892.85714285714278</v>
      </c>
      <c r="I52" s="74">
        <f t="shared" si="0"/>
        <v>4464.2857142857138</v>
      </c>
    </row>
    <row r="53" spans="2:9" s="7" customFormat="1" ht="141.75" x14ac:dyDescent="0.25">
      <c r="B53" s="16">
        <v>45</v>
      </c>
      <c r="C53" s="24" t="s">
        <v>102</v>
      </c>
      <c r="D53" s="20" t="s">
        <v>228</v>
      </c>
      <c r="E53" s="59" t="s">
        <v>103</v>
      </c>
      <c r="F53" s="21">
        <v>10</v>
      </c>
      <c r="G53" s="26" t="s">
        <v>14</v>
      </c>
      <c r="H53" s="74">
        <f>700/1.12</f>
        <v>624.99999999999989</v>
      </c>
      <c r="I53" s="74">
        <f t="shared" si="0"/>
        <v>6249.9999999999991</v>
      </c>
    </row>
    <row r="54" spans="2:9" s="7" customFormat="1" ht="189" x14ac:dyDescent="0.25">
      <c r="B54" s="16">
        <v>46</v>
      </c>
      <c r="C54" s="24" t="s">
        <v>104</v>
      </c>
      <c r="D54" s="20" t="s">
        <v>228</v>
      </c>
      <c r="E54" s="59" t="s">
        <v>105</v>
      </c>
      <c r="F54" s="21">
        <v>10</v>
      </c>
      <c r="G54" s="26" t="s">
        <v>14</v>
      </c>
      <c r="H54" s="74">
        <f>500/1.12</f>
        <v>446.42857142857139</v>
      </c>
      <c r="I54" s="74">
        <f t="shared" si="0"/>
        <v>4464.2857142857138</v>
      </c>
    </row>
    <row r="55" spans="2:9" s="7" customFormat="1" ht="94.5" x14ac:dyDescent="0.25">
      <c r="B55" s="16">
        <v>47</v>
      </c>
      <c r="C55" s="24" t="s">
        <v>106</v>
      </c>
      <c r="D55" s="20" t="s">
        <v>228</v>
      </c>
      <c r="E55" s="59" t="s">
        <v>215</v>
      </c>
      <c r="F55" s="21">
        <v>3</v>
      </c>
      <c r="G55" s="24" t="s">
        <v>32</v>
      </c>
      <c r="H55" s="74">
        <f>300/1.12</f>
        <v>267.85714285714283</v>
      </c>
      <c r="I55" s="74">
        <f t="shared" si="0"/>
        <v>803.57142857142844</v>
      </c>
    </row>
    <row r="56" spans="2:9" s="7" customFormat="1" ht="63" x14ac:dyDescent="0.25">
      <c r="B56" s="16">
        <v>48</v>
      </c>
      <c r="C56" s="24" t="s">
        <v>107</v>
      </c>
      <c r="D56" s="20" t="s">
        <v>228</v>
      </c>
      <c r="E56" s="59" t="s">
        <v>108</v>
      </c>
      <c r="F56" s="21">
        <v>5</v>
      </c>
      <c r="G56" s="26" t="s">
        <v>14</v>
      </c>
      <c r="H56" s="74">
        <f>250/1.12</f>
        <v>223.21428571428569</v>
      </c>
      <c r="I56" s="74">
        <f t="shared" si="0"/>
        <v>1116.0714285714284</v>
      </c>
    </row>
    <row r="57" spans="2:9" s="7" customFormat="1" ht="78.75" x14ac:dyDescent="0.25">
      <c r="B57" s="16">
        <v>49</v>
      </c>
      <c r="C57" s="24" t="s">
        <v>109</v>
      </c>
      <c r="D57" s="20" t="s">
        <v>228</v>
      </c>
      <c r="E57" s="59" t="s">
        <v>216</v>
      </c>
      <c r="F57" s="21">
        <v>24</v>
      </c>
      <c r="G57" s="24" t="s">
        <v>110</v>
      </c>
      <c r="H57" s="74">
        <f>2500/1.12</f>
        <v>2232.1428571428569</v>
      </c>
      <c r="I57" s="74">
        <f t="shared" si="0"/>
        <v>53571.428571428565</v>
      </c>
    </row>
    <row r="58" spans="2:9" s="7" customFormat="1" ht="173.25" x14ac:dyDescent="0.25">
      <c r="B58" s="16">
        <v>50</v>
      </c>
      <c r="C58" s="24" t="s">
        <v>111</v>
      </c>
      <c r="D58" s="20" t="s">
        <v>228</v>
      </c>
      <c r="E58" s="59" t="s">
        <v>112</v>
      </c>
      <c r="F58" s="21">
        <v>5</v>
      </c>
      <c r="G58" s="24" t="s">
        <v>14</v>
      </c>
      <c r="H58" s="74">
        <f>500/1.12</f>
        <v>446.42857142857139</v>
      </c>
      <c r="I58" s="74">
        <f t="shared" si="0"/>
        <v>2232.1428571428569</v>
      </c>
    </row>
    <row r="59" spans="2:9" s="7" customFormat="1" ht="94.5" x14ac:dyDescent="0.25">
      <c r="B59" s="16">
        <v>51</v>
      </c>
      <c r="C59" s="24" t="s">
        <v>113</v>
      </c>
      <c r="D59" s="20" t="s">
        <v>228</v>
      </c>
      <c r="E59" s="59" t="s">
        <v>217</v>
      </c>
      <c r="F59" s="21">
        <v>5</v>
      </c>
      <c r="G59" s="24" t="s">
        <v>14</v>
      </c>
      <c r="H59" s="74">
        <f>300/1.12</f>
        <v>267.85714285714283</v>
      </c>
      <c r="I59" s="74">
        <f t="shared" si="0"/>
        <v>1339.2857142857142</v>
      </c>
    </row>
    <row r="60" spans="2:9" s="7" customFormat="1" ht="126" x14ac:dyDescent="0.25">
      <c r="B60" s="16">
        <v>52</v>
      </c>
      <c r="C60" s="24" t="s">
        <v>114</v>
      </c>
      <c r="D60" s="20" t="s">
        <v>228</v>
      </c>
      <c r="E60" s="59" t="s">
        <v>115</v>
      </c>
      <c r="F60" s="21">
        <v>5</v>
      </c>
      <c r="G60" s="24" t="s">
        <v>14</v>
      </c>
      <c r="H60" s="74">
        <f>100/1.12</f>
        <v>89.285714285714278</v>
      </c>
      <c r="I60" s="74">
        <f t="shared" si="0"/>
        <v>446.42857142857139</v>
      </c>
    </row>
    <row r="61" spans="2:9" s="7" customFormat="1" ht="126" x14ac:dyDescent="0.25">
      <c r="B61" s="16">
        <v>53</v>
      </c>
      <c r="C61" s="24" t="s">
        <v>116</v>
      </c>
      <c r="D61" s="20" t="s">
        <v>228</v>
      </c>
      <c r="E61" s="59" t="s">
        <v>117</v>
      </c>
      <c r="F61" s="21">
        <v>5</v>
      </c>
      <c r="G61" s="24" t="s">
        <v>14</v>
      </c>
      <c r="H61" s="80">
        <f>80/1.12</f>
        <v>71.428571428571416</v>
      </c>
      <c r="I61" s="74">
        <f t="shared" si="0"/>
        <v>357.14285714285711</v>
      </c>
    </row>
    <row r="62" spans="2:9" s="7" customFormat="1" ht="299.25" x14ac:dyDescent="0.25">
      <c r="B62" s="16">
        <v>54</v>
      </c>
      <c r="C62" s="24" t="s">
        <v>118</v>
      </c>
      <c r="D62" s="20" t="s">
        <v>228</v>
      </c>
      <c r="E62" s="59" t="s">
        <v>119</v>
      </c>
      <c r="F62" s="21">
        <v>50</v>
      </c>
      <c r="G62" s="24" t="s">
        <v>14</v>
      </c>
      <c r="H62" s="80">
        <f>150/1.12</f>
        <v>133.92857142857142</v>
      </c>
      <c r="I62" s="74">
        <f t="shared" si="0"/>
        <v>6696.4285714285706</v>
      </c>
    </row>
    <row r="63" spans="2:9" s="7" customFormat="1" ht="173.25" x14ac:dyDescent="0.25">
      <c r="B63" s="16">
        <v>55</v>
      </c>
      <c r="C63" s="24" t="s">
        <v>120</v>
      </c>
      <c r="D63" s="20" t="s">
        <v>228</v>
      </c>
      <c r="E63" s="59" t="s">
        <v>121</v>
      </c>
      <c r="F63" s="21">
        <v>50</v>
      </c>
      <c r="G63" s="24" t="s">
        <v>14</v>
      </c>
      <c r="H63" s="80">
        <f>600/1.12</f>
        <v>535.71428571428567</v>
      </c>
      <c r="I63" s="74">
        <f t="shared" si="0"/>
        <v>26785.714285714283</v>
      </c>
    </row>
    <row r="64" spans="2:9" s="7" customFormat="1" ht="173.25" x14ac:dyDescent="0.25">
      <c r="B64" s="16">
        <v>56</v>
      </c>
      <c r="C64" s="24" t="s">
        <v>122</v>
      </c>
      <c r="D64" s="20" t="s">
        <v>228</v>
      </c>
      <c r="E64" s="59" t="s">
        <v>123</v>
      </c>
      <c r="F64" s="21">
        <v>60</v>
      </c>
      <c r="G64" s="24" t="s">
        <v>14</v>
      </c>
      <c r="H64" s="80">
        <f>900/1.12</f>
        <v>803.57142857142844</v>
      </c>
      <c r="I64" s="74">
        <f t="shared" si="0"/>
        <v>48214.28571428571</v>
      </c>
    </row>
    <row r="65" spans="2:9" s="7" customFormat="1" ht="94.5" x14ac:dyDescent="0.25">
      <c r="B65" s="16">
        <v>57</v>
      </c>
      <c r="C65" s="24" t="s">
        <v>124</v>
      </c>
      <c r="D65" s="20" t="s">
        <v>228</v>
      </c>
      <c r="E65" s="59" t="s">
        <v>125</v>
      </c>
      <c r="F65" s="21">
        <v>5</v>
      </c>
      <c r="G65" s="24" t="s">
        <v>14</v>
      </c>
      <c r="H65" s="80">
        <f>400/1.12</f>
        <v>357.14285714285711</v>
      </c>
      <c r="I65" s="74">
        <f t="shared" si="0"/>
        <v>1785.7142857142856</v>
      </c>
    </row>
    <row r="66" spans="2:9" s="7" customFormat="1" ht="63" x14ac:dyDescent="0.25">
      <c r="B66" s="16">
        <v>58</v>
      </c>
      <c r="C66" s="24" t="s">
        <v>126</v>
      </c>
      <c r="D66" s="20" t="s">
        <v>228</v>
      </c>
      <c r="E66" s="59" t="s">
        <v>127</v>
      </c>
      <c r="F66" s="21">
        <v>80</v>
      </c>
      <c r="G66" s="24" t="s">
        <v>14</v>
      </c>
      <c r="H66" s="80">
        <f>30/1.12</f>
        <v>26.785714285714285</v>
      </c>
      <c r="I66" s="74">
        <f t="shared" si="0"/>
        <v>2142.8571428571427</v>
      </c>
    </row>
    <row r="67" spans="2:9" s="7" customFormat="1" ht="110.25" x14ac:dyDescent="0.25">
      <c r="B67" s="16">
        <v>59</v>
      </c>
      <c r="C67" s="24" t="s">
        <v>128</v>
      </c>
      <c r="D67" s="20" t="s">
        <v>228</v>
      </c>
      <c r="E67" s="59" t="s">
        <v>129</v>
      </c>
      <c r="F67" s="21">
        <v>20</v>
      </c>
      <c r="G67" s="24" t="s">
        <v>14</v>
      </c>
      <c r="H67" s="74">
        <f>50/1.12</f>
        <v>44.642857142857139</v>
      </c>
      <c r="I67" s="74">
        <f t="shared" si="0"/>
        <v>892.85714285714278</v>
      </c>
    </row>
    <row r="68" spans="2:9" s="7" customFormat="1" ht="126" x14ac:dyDescent="0.25">
      <c r="B68" s="16">
        <v>60</v>
      </c>
      <c r="C68" s="24" t="s">
        <v>130</v>
      </c>
      <c r="D68" s="20" t="s">
        <v>228</v>
      </c>
      <c r="E68" s="59" t="s">
        <v>131</v>
      </c>
      <c r="F68" s="27">
        <v>80</v>
      </c>
      <c r="G68" s="24" t="s">
        <v>14</v>
      </c>
      <c r="H68" s="74">
        <f>100/1.12</f>
        <v>89.285714285714278</v>
      </c>
      <c r="I68" s="74">
        <f t="shared" si="0"/>
        <v>7142.8571428571422</v>
      </c>
    </row>
    <row r="69" spans="2:9" s="7" customFormat="1" ht="94.5" x14ac:dyDescent="0.25">
      <c r="B69" s="16">
        <v>61</v>
      </c>
      <c r="C69" s="25" t="s">
        <v>132</v>
      </c>
      <c r="D69" s="20" t="s">
        <v>228</v>
      </c>
      <c r="E69" s="59" t="s">
        <v>133</v>
      </c>
      <c r="F69" s="27">
        <v>1</v>
      </c>
      <c r="G69" s="24" t="s">
        <v>110</v>
      </c>
      <c r="H69" s="74">
        <f>2500/1.12</f>
        <v>2232.1428571428569</v>
      </c>
      <c r="I69" s="74">
        <f t="shared" si="0"/>
        <v>2232.1428571428569</v>
      </c>
    </row>
    <row r="70" spans="2:9" s="7" customFormat="1" ht="94.5" x14ac:dyDescent="0.25">
      <c r="B70" s="16">
        <v>62</v>
      </c>
      <c r="C70" s="24" t="s">
        <v>134</v>
      </c>
      <c r="D70" s="20" t="s">
        <v>228</v>
      </c>
      <c r="E70" s="59" t="s">
        <v>218</v>
      </c>
      <c r="F70" s="27">
        <v>8</v>
      </c>
      <c r="G70" s="24" t="s">
        <v>14</v>
      </c>
      <c r="H70" s="74">
        <f>150/1.12</f>
        <v>133.92857142857142</v>
      </c>
      <c r="I70" s="74">
        <f t="shared" si="0"/>
        <v>1071.4285714285713</v>
      </c>
    </row>
    <row r="71" spans="2:9" s="7" customFormat="1" ht="78.75" x14ac:dyDescent="0.25">
      <c r="B71" s="16">
        <v>63</v>
      </c>
      <c r="C71" s="24" t="s">
        <v>135</v>
      </c>
      <c r="D71" s="20" t="s">
        <v>228</v>
      </c>
      <c r="E71" s="59" t="s">
        <v>136</v>
      </c>
      <c r="F71" s="27">
        <v>3</v>
      </c>
      <c r="G71" s="24" t="s">
        <v>14</v>
      </c>
      <c r="H71" s="74">
        <f>500/1.12</f>
        <v>446.42857142857139</v>
      </c>
      <c r="I71" s="74">
        <f t="shared" si="0"/>
        <v>1339.2857142857142</v>
      </c>
    </row>
    <row r="72" spans="2:9" s="7" customFormat="1" ht="110.25" x14ac:dyDescent="0.25">
      <c r="B72" s="16">
        <v>64</v>
      </c>
      <c r="C72" s="24" t="s">
        <v>137</v>
      </c>
      <c r="D72" s="20" t="s">
        <v>228</v>
      </c>
      <c r="E72" s="59" t="s">
        <v>138</v>
      </c>
      <c r="F72" s="27">
        <v>2</v>
      </c>
      <c r="G72" s="24" t="s">
        <v>110</v>
      </c>
      <c r="H72" s="74">
        <f>3000/1.12</f>
        <v>2678.5714285714284</v>
      </c>
      <c r="I72" s="74">
        <f t="shared" si="0"/>
        <v>5357.1428571428569</v>
      </c>
    </row>
    <row r="73" spans="2:9" s="7" customFormat="1" ht="94.5" x14ac:dyDescent="0.25">
      <c r="B73" s="16">
        <v>65</v>
      </c>
      <c r="C73" s="24" t="s">
        <v>139</v>
      </c>
      <c r="D73" s="20" t="s">
        <v>228</v>
      </c>
      <c r="E73" s="59" t="s">
        <v>140</v>
      </c>
      <c r="F73" s="27">
        <v>12</v>
      </c>
      <c r="G73" s="24" t="s">
        <v>110</v>
      </c>
      <c r="H73" s="74">
        <f>3000/1.12</f>
        <v>2678.5714285714284</v>
      </c>
      <c r="I73" s="74">
        <f t="shared" si="0"/>
        <v>32142.857142857141</v>
      </c>
    </row>
    <row r="74" spans="2:9" s="7" customFormat="1" ht="63" x14ac:dyDescent="0.25">
      <c r="B74" s="16">
        <v>66</v>
      </c>
      <c r="C74" s="24" t="s">
        <v>141</v>
      </c>
      <c r="D74" s="20" t="s">
        <v>228</v>
      </c>
      <c r="E74" s="59" t="s">
        <v>219</v>
      </c>
      <c r="F74" s="21">
        <v>7</v>
      </c>
      <c r="G74" s="24" t="s">
        <v>32</v>
      </c>
      <c r="H74" s="74">
        <f>300/1.12</f>
        <v>267.85714285714283</v>
      </c>
      <c r="I74" s="74">
        <f t="shared" ref="I74:I94" si="1">F74*H74</f>
        <v>1874.9999999999998</v>
      </c>
    </row>
    <row r="75" spans="2:9" s="7" customFormat="1" ht="63" x14ac:dyDescent="0.25">
      <c r="B75" s="16">
        <v>67</v>
      </c>
      <c r="C75" s="24" t="s">
        <v>142</v>
      </c>
      <c r="D75" s="20" t="s">
        <v>228</v>
      </c>
      <c r="E75" s="59" t="s">
        <v>143</v>
      </c>
      <c r="F75" s="21">
        <v>10</v>
      </c>
      <c r="G75" s="24" t="s">
        <v>14</v>
      </c>
      <c r="H75" s="74">
        <f>50/1.12</f>
        <v>44.642857142857139</v>
      </c>
      <c r="I75" s="74">
        <f t="shared" si="1"/>
        <v>446.42857142857139</v>
      </c>
    </row>
    <row r="76" spans="2:9" s="7" customFormat="1" ht="63" x14ac:dyDescent="0.25">
      <c r="B76" s="16">
        <v>68</v>
      </c>
      <c r="C76" s="24" t="s">
        <v>144</v>
      </c>
      <c r="D76" s="20" t="s">
        <v>228</v>
      </c>
      <c r="E76" s="59" t="s">
        <v>145</v>
      </c>
      <c r="F76" s="21">
        <v>10</v>
      </c>
      <c r="G76" s="24" t="s">
        <v>14</v>
      </c>
      <c r="H76" s="74">
        <f>50/1.12</f>
        <v>44.642857142857139</v>
      </c>
      <c r="I76" s="74">
        <f t="shared" si="1"/>
        <v>446.42857142857139</v>
      </c>
    </row>
    <row r="77" spans="2:9" s="7" customFormat="1" ht="63" x14ac:dyDescent="0.25">
      <c r="B77" s="16">
        <v>69</v>
      </c>
      <c r="C77" s="24" t="s">
        <v>146</v>
      </c>
      <c r="D77" s="20" t="s">
        <v>228</v>
      </c>
      <c r="E77" s="59" t="s">
        <v>147</v>
      </c>
      <c r="F77" s="21">
        <v>5</v>
      </c>
      <c r="G77" s="24" t="s">
        <v>14</v>
      </c>
      <c r="H77" s="74">
        <f>50/1.12</f>
        <v>44.642857142857139</v>
      </c>
      <c r="I77" s="74">
        <f t="shared" si="1"/>
        <v>223.21428571428569</v>
      </c>
    </row>
    <row r="78" spans="2:9" s="7" customFormat="1" ht="173.25" x14ac:dyDescent="0.25">
      <c r="B78" s="16">
        <v>70</v>
      </c>
      <c r="C78" s="24" t="s">
        <v>148</v>
      </c>
      <c r="D78" s="20" t="s">
        <v>228</v>
      </c>
      <c r="E78" s="59" t="s">
        <v>149</v>
      </c>
      <c r="F78" s="21">
        <v>3</v>
      </c>
      <c r="G78" s="24" t="s">
        <v>14</v>
      </c>
      <c r="H78" s="74">
        <f>3000/1.12</f>
        <v>2678.5714285714284</v>
      </c>
      <c r="I78" s="74">
        <f t="shared" si="1"/>
        <v>8035.7142857142853</v>
      </c>
    </row>
    <row r="79" spans="2:9" s="7" customFormat="1" ht="63" x14ac:dyDescent="0.25">
      <c r="B79" s="16">
        <v>71</v>
      </c>
      <c r="C79" s="24" t="s">
        <v>150</v>
      </c>
      <c r="D79" s="20" t="s">
        <v>228</v>
      </c>
      <c r="E79" s="59" t="s">
        <v>151</v>
      </c>
      <c r="F79" s="21">
        <v>15</v>
      </c>
      <c r="G79" s="24" t="s">
        <v>57</v>
      </c>
      <c r="H79" s="74">
        <f>50/1.12</f>
        <v>44.642857142857139</v>
      </c>
      <c r="I79" s="74">
        <f t="shared" si="1"/>
        <v>669.64285714285711</v>
      </c>
    </row>
    <row r="80" spans="2:9" s="7" customFormat="1" ht="63" x14ac:dyDescent="0.25">
      <c r="B80" s="16">
        <v>72</v>
      </c>
      <c r="C80" s="24" t="s">
        <v>152</v>
      </c>
      <c r="D80" s="20" t="s">
        <v>228</v>
      </c>
      <c r="E80" s="59" t="s">
        <v>153</v>
      </c>
      <c r="F80" s="21">
        <v>10</v>
      </c>
      <c r="G80" s="24" t="s">
        <v>57</v>
      </c>
      <c r="H80" s="74">
        <f>60/1.12</f>
        <v>53.571428571428569</v>
      </c>
      <c r="I80" s="74">
        <f t="shared" si="1"/>
        <v>535.71428571428567</v>
      </c>
    </row>
    <row r="81" spans="1:10" ht="63" x14ac:dyDescent="0.25">
      <c r="B81" s="16">
        <v>73</v>
      </c>
      <c r="C81" s="24" t="s">
        <v>154</v>
      </c>
      <c r="D81" s="20" t="s">
        <v>228</v>
      </c>
      <c r="E81" s="59" t="s">
        <v>155</v>
      </c>
      <c r="F81" s="21">
        <v>5</v>
      </c>
      <c r="G81" s="24" t="s">
        <v>57</v>
      </c>
      <c r="H81" s="74">
        <f>300/1.12</f>
        <v>267.85714285714283</v>
      </c>
      <c r="I81" s="74">
        <f t="shared" si="1"/>
        <v>1339.2857142857142</v>
      </c>
      <c r="J81" s="7"/>
    </row>
    <row r="82" spans="1:10" ht="63" x14ac:dyDescent="0.25">
      <c r="B82" s="16">
        <v>74</v>
      </c>
      <c r="C82" s="24" t="s">
        <v>156</v>
      </c>
      <c r="D82" s="20" t="s">
        <v>228</v>
      </c>
      <c r="E82" s="59" t="s">
        <v>157</v>
      </c>
      <c r="F82" s="21">
        <v>5</v>
      </c>
      <c r="G82" s="24" t="s">
        <v>57</v>
      </c>
      <c r="H82" s="74">
        <f>300/1.12</f>
        <v>267.85714285714283</v>
      </c>
      <c r="I82" s="74">
        <f t="shared" si="1"/>
        <v>1339.2857142857142</v>
      </c>
      <c r="J82" s="7"/>
    </row>
    <row r="83" spans="1:10" ht="141.75" x14ac:dyDescent="0.25">
      <c r="B83" s="16">
        <v>75</v>
      </c>
      <c r="C83" s="24" t="s">
        <v>158</v>
      </c>
      <c r="D83" s="20" t="s">
        <v>228</v>
      </c>
      <c r="E83" s="59" t="s">
        <v>220</v>
      </c>
      <c r="F83" s="21">
        <v>10</v>
      </c>
      <c r="G83" s="24" t="s">
        <v>57</v>
      </c>
      <c r="H83" s="74">
        <f>100/1.12</f>
        <v>89.285714285714278</v>
      </c>
      <c r="I83" s="74">
        <f t="shared" si="1"/>
        <v>892.85714285714278</v>
      </c>
      <c r="J83" s="7"/>
    </row>
    <row r="84" spans="1:10" ht="141.75" x14ac:dyDescent="0.25">
      <c r="B84" s="16">
        <v>76</v>
      </c>
      <c r="C84" s="24" t="s">
        <v>159</v>
      </c>
      <c r="D84" s="20" t="s">
        <v>228</v>
      </c>
      <c r="E84" s="59" t="s">
        <v>221</v>
      </c>
      <c r="F84" s="21">
        <v>10</v>
      </c>
      <c r="G84" s="24" t="s">
        <v>57</v>
      </c>
      <c r="H84" s="74">
        <f>100/1.12</f>
        <v>89.285714285714278</v>
      </c>
      <c r="I84" s="74">
        <f t="shared" si="1"/>
        <v>892.85714285714278</v>
      </c>
      <c r="J84" s="7"/>
    </row>
    <row r="85" spans="1:10" ht="94.5" x14ac:dyDescent="0.25">
      <c r="B85" s="16">
        <v>77</v>
      </c>
      <c r="C85" s="24" t="s">
        <v>160</v>
      </c>
      <c r="D85" s="20" t="s">
        <v>228</v>
      </c>
      <c r="E85" s="59" t="s">
        <v>161</v>
      </c>
      <c r="F85" s="21">
        <v>7</v>
      </c>
      <c r="G85" s="24" t="s">
        <v>14</v>
      </c>
      <c r="H85" s="74">
        <f>320/1.12</f>
        <v>285.71428571428567</v>
      </c>
      <c r="I85" s="74">
        <f t="shared" si="1"/>
        <v>1999.9999999999995</v>
      </c>
      <c r="J85" s="7"/>
    </row>
    <row r="86" spans="1:10" ht="94.5" x14ac:dyDescent="0.25">
      <c r="B86" s="16">
        <v>78</v>
      </c>
      <c r="C86" s="24" t="s">
        <v>162</v>
      </c>
      <c r="D86" s="20" t="s">
        <v>228</v>
      </c>
      <c r="E86" s="59" t="s">
        <v>163</v>
      </c>
      <c r="F86" s="21">
        <v>5</v>
      </c>
      <c r="G86" s="24" t="s">
        <v>14</v>
      </c>
      <c r="H86" s="74">
        <f>870/1.12</f>
        <v>776.78571428571422</v>
      </c>
      <c r="I86" s="74">
        <f t="shared" si="1"/>
        <v>3883.9285714285711</v>
      </c>
      <c r="J86" s="7"/>
    </row>
    <row r="87" spans="1:10" ht="63" x14ac:dyDescent="0.25">
      <c r="B87" s="16">
        <v>79</v>
      </c>
      <c r="C87" s="24" t="s">
        <v>164</v>
      </c>
      <c r="D87" s="20" t="s">
        <v>228</v>
      </c>
      <c r="E87" s="59" t="s">
        <v>165</v>
      </c>
      <c r="F87" s="21">
        <v>2</v>
      </c>
      <c r="G87" s="24" t="s">
        <v>14</v>
      </c>
      <c r="H87" s="74">
        <f>1200/1.12</f>
        <v>1071.4285714285713</v>
      </c>
      <c r="I87" s="74">
        <f t="shared" si="1"/>
        <v>2142.8571428571427</v>
      </c>
      <c r="J87" s="7"/>
    </row>
    <row r="88" spans="1:10" ht="63" x14ac:dyDescent="0.25">
      <c r="B88" s="16">
        <v>80</v>
      </c>
      <c r="C88" s="24" t="s">
        <v>166</v>
      </c>
      <c r="D88" s="20" t="s">
        <v>228</v>
      </c>
      <c r="E88" s="59" t="s">
        <v>167</v>
      </c>
      <c r="F88" s="21">
        <v>5</v>
      </c>
      <c r="G88" s="24" t="s">
        <v>14</v>
      </c>
      <c r="H88" s="74">
        <f>1600/1.12</f>
        <v>1428.5714285714284</v>
      </c>
      <c r="I88" s="74">
        <f t="shared" si="1"/>
        <v>7142.8571428571422</v>
      </c>
      <c r="J88" s="7"/>
    </row>
    <row r="89" spans="1:10" ht="63" x14ac:dyDescent="0.25">
      <c r="B89" s="16">
        <v>81</v>
      </c>
      <c r="C89" s="24" t="s">
        <v>168</v>
      </c>
      <c r="D89" s="20" t="s">
        <v>228</v>
      </c>
      <c r="E89" s="59" t="s">
        <v>169</v>
      </c>
      <c r="F89" s="21">
        <v>5</v>
      </c>
      <c r="G89" s="24" t="s">
        <v>14</v>
      </c>
      <c r="H89" s="74">
        <f>100/1.12</f>
        <v>89.285714285714278</v>
      </c>
      <c r="I89" s="74">
        <f t="shared" si="1"/>
        <v>446.42857142857139</v>
      </c>
      <c r="J89" s="7"/>
    </row>
    <row r="90" spans="1:10" ht="63" x14ac:dyDescent="0.25">
      <c r="B90" s="16">
        <v>82</v>
      </c>
      <c r="C90" s="24" t="s">
        <v>170</v>
      </c>
      <c r="D90" s="20" t="s">
        <v>228</v>
      </c>
      <c r="E90" s="59" t="s">
        <v>171</v>
      </c>
      <c r="F90" s="21">
        <v>10</v>
      </c>
      <c r="G90" s="24" t="s">
        <v>14</v>
      </c>
      <c r="H90" s="74">
        <f>250/1.12</f>
        <v>223.21428571428569</v>
      </c>
      <c r="I90" s="74">
        <f t="shared" si="1"/>
        <v>2232.1428571428569</v>
      </c>
      <c r="J90" s="7"/>
    </row>
    <row r="91" spans="1:10" ht="78.75" x14ac:dyDescent="0.25">
      <c r="B91" s="16">
        <v>83</v>
      </c>
      <c r="C91" s="24" t="s">
        <v>172</v>
      </c>
      <c r="D91" s="20" t="s">
        <v>228</v>
      </c>
      <c r="E91" s="59" t="s">
        <v>173</v>
      </c>
      <c r="F91" s="21">
        <v>10</v>
      </c>
      <c r="G91" s="24" t="s">
        <v>110</v>
      </c>
      <c r="H91" s="74">
        <f>1100/1.12</f>
        <v>982.142857142857</v>
      </c>
      <c r="I91" s="74">
        <f t="shared" si="1"/>
        <v>9821.4285714285706</v>
      </c>
      <c r="J91" s="7"/>
    </row>
    <row r="92" spans="1:10" ht="141.75" x14ac:dyDescent="0.25">
      <c r="B92" s="16">
        <v>84</v>
      </c>
      <c r="C92" s="24" t="s">
        <v>174</v>
      </c>
      <c r="D92" s="20" t="s">
        <v>228</v>
      </c>
      <c r="E92" s="59" t="s">
        <v>175</v>
      </c>
      <c r="F92" s="21">
        <v>2</v>
      </c>
      <c r="G92" s="24" t="s">
        <v>14</v>
      </c>
      <c r="H92" s="74">
        <f>100/1.12</f>
        <v>89.285714285714278</v>
      </c>
      <c r="I92" s="74">
        <f t="shared" si="1"/>
        <v>178.57142857142856</v>
      </c>
      <c r="J92" s="7"/>
    </row>
    <row r="93" spans="1:10" ht="204.75" x14ac:dyDescent="0.25">
      <c r="B93" s="16">
        <v>85</v>
      </c>
      <c r="C93" s="22" t="s">
        <v>176</v>
      </c>
      <c r="D93" s="22" t="s">
        <v>177</v>
      </c>
      <c r="E93" s="59" t="s">
        <v>178</v>
      </c>
      <c r="F93" s="23" t="s">
        <v>179</v>
      </c>
      <c r="G93" s="22" t="s">
        <v>180</v>
      </c>
      <c r="H93" s="68" t="s">
        <v>181</v>
      </c>
      <c r="I93" s="74">
        <v>1345050000</v>
      </c>
      <c r="J93" s="7"/>
    </row>
    <row r="94" spans="1:10" ht="315" x14ac:dyDescent="0.25">
      <c r="B94" s="16">
        <v>86</v>
      </c>
      <c r="C94" s="22" t="s">
        <v>238</v>
      </c>
      <c r="D94" s="22" t="s">
        <v>177</v>
      </c>
      <c r="E94" s="59" t="s">
        <v>229</v>
      </c>
      <c r="F94" s="23">
        <v>1</v>
      </c>
      <c r="G94" s="22" t="s">
        <v>230</v>
      </c>
      <c r="H94" s="68">
        <v>1059392857</v>
      </c>
      <c r="I94" s="74">
        <f t="shared" si="1"/>
        <v>1059392857</v>
      </c>
      <c r="J94" s="7"/>
    </row>
    <row r="95" spans="1:10" s="32" customFormat="1" ht="63" x14ac:dyDescent="0.25">
      <c r="A95" s="28"/>
      <c r="B95" s="51" t="s">
        <v>182</v>
      </c>
      <c r="C95" s="52"/>
      <c r="D95" s="29" t="s">
        <v>183</v>
      </c>
      <c r="E95" s="60" t="s">
        <v>183</v>
      </c>
      <c r="F95" s="30" t="s">
        <v>183</v>
      </c>
      <c r="G95" s="29"/>
      <c r="H95" s="31" t="s">
        <v>183</v>
      </c>
      <c r="I95" s="31">
        <f>SUM(I9:I94)</f>
        <v>2406517120.3928571</v>
      </c>
    </row>
    <row r="96" spans="1:10" x14ac:dyDescent="0.25">
      <c r="B96" s="122" t="s">
        <v>184</v>
      </c>
      <c r="C96" s="123"/>
      <c r="D96" s="50"/>
      <c r="E96" s="57"/>
      <c r="F96" s="50"/>
      <c r="G96" s="50"/>
      <c r="H96" s="79"/>
      <c r="I96" s="73"/>
      <c r="J96" s="7"/>
    </row>
    <row r="97" spans="1:10" x14ac:dyDescent="0.25">
      <c r="B97" s="16">
        <v>1</v>
      </c>
      <c r="C97" s="33"/>
      <c r="D97" s="33"/>
      <c r="E97" s="56"/>
      <c r="F97" s="16"/>
      <c r="G97" s="33"/>
      <c r="H97" s="69"/>
      <c r="I97" s="69"/>
      <c r="J97" s="7"/>
    </row>
    <row r="98" spans="1:10" s="32" customFormat="1" ht="63" x14ac:dyDescent="0.25">
      <c r="A98" s="28"/>
      <c r="B98" s="51" t="s">
        <v>185</v>
      </c>
      <c r="C98" s="52"/>
      <c r="D98" s="29" t="s">
        <v>183</v>
      </c>
      <c r="E98" s="60" t="s">
        <v>183</v>
      </c>
      <c r="F98" s="30" t="s">
        <v>183</v>
      </c>
      <c r="G98" s="29"/>
      <c r="H98" s="31" t="s">
        <v>183</v>
      </c>
      <c r="I98" s="31">
        <v>0</v>
      </c>
    </row>
    <row r="99" spans="1:10" s="32" customFormat="1" x14ac:dyDescent="0.25">
      <c r="A99" s="28"/>
      <c r="B99" s="122" t="s">
        <v>186</v>
      </c>
      <c r="C99" s="123"/>
      <c r="D99" s="50"/>
      <c r="E99" s="57"/>
      <c r="F99" s="50"/>
      <c r="G99" s="50"/>
      <c r="H99" s="79"/>
      <c r="I99" s="73"/>
    </row>
    <row r="100" spans="1:10" ht="236.25" x14ac:dyDescent="0.25">
      <c r="B100" s="16">
        <v>1</v>
      </c>
      <c r="C100" s="22" t="s">
        <v>187</v>
      </c>
      <c r="D100" s="22" t="s">
        <v>12</v>
      </c>
      <c r="E100" s="59" t="s">
        <v>188</v>
      </c>
      <c r="F100" s="23">
        <v>1</v>
      </c>
      <c r="G100" s="22" t="s">
        <v>189</v>
      </c>
      <c r="H100" s="68">
        <f>4080000/12*11</f>
        <v>3740000</v>
      </c>
      <c r="I100" s="68">
        <v>3740000</v>
      </c>
      <c r="J100" s="7"/>
    </row>
    <row r="101" spans="1:10" ht="63" x14ac:dyDescent="0.25">
      <c r="B101" s="16">
        <v>2</v>
      </c>
      <c r="C101" s="22" t="s">
        <v>190</v>
      </c>
      <c r="D101" s="22" t="s">
        <v>12</v>
      </c>
      <c r="E101" s="59" t="s">
        <v>191</v>
      </c>
      <c r="F101" s="23">
        <v>1</v>
      </c>
      <c r="G101" s="22" t="s">
        <v>189</v>
      </c>
      <c r="H101" s="69"/>
      <c r="I101" s="68">
        <v>1153392.857142857</v>
      </c>
      <c r="J101" s="7"/>
    </row>
    <row r="102" spans="1:10" s="34" customFormat="1" ht="78.75" x14ac:dyDescent="0.25">
      <c r="A102" s="10"/>
      <c r="B102" s="17">
        <v>3</v>
      </c>
      <c r="C102" s="22" t="s">
        <v>192</v>
      </c>
      <c r="D102" s="22" t="s">
        <v>12</v>
      </c>
      <c r="E102" s="59" t="s">
        <v>193</v>
      </c>
      <c r="F102" s="23">
        <v>1</v>
      </c>
      <c r="G102" s="22" t="s">
        <v>189</v>
      </c>
      <c r="H102" s="81"/>
      <c r="I102" s="68">
        <v>571428.57142857136</v>
      </c>
    </row>
    <row r="103" spans="1:10" ht="47.25" x14ac:dyDescent="0.25">
      <c r="B103" s="16">
        <v>4</v>
      </c>
      <c r="C103" s="22" t="s">
        <v>194</v>
      </c>
      <c r="D103" s="22" t="s">
        <v>12</v>
      </c>
      <c r="E103" s="59" t="s">
        <v>195</v>
      </c>
      <c r="F103" s="23">
        <v>1</v>
      </c>
      <c r="G103" s="22" t="s">
        <v>189</v>
      </c>
      <c r="H103" s="69"/>
      <c r="I103" s="68">
        <v>181124.99999999997</v>
      </c>
      <c r="J103" s="7"/>
    </row>
    <row r="104" spans="1:10" ht="283.5" x14ac:dyDescent="0.25">
      <c r="B104" s="16">
        <v>5</v>
      </c>
      <c r="C104" s="22" t="s">
        <v>196</v>
      </c>
      <c r="D104" s="22" t="s">
        <v>12</v>
      </c>
      <c r="E104" s="59" t="s">
        <v>197</v>
      </c>
      <c r="F104" s="23">
        <v>1</v>
      </c>
      <c r="G104" s="22" t="s">
        <v>189</v>
      </c>
      <c r="H104" s="69"/>
      <c r="I104" s="68">
        <v>3733928.5714285709</v>
      </c>
      <c r="J104" s="7"/>
    </row>
    <row r="105" spans="1:10" ht="157.5" x14ac:dyDescent="0.25">
      <c r="B105" s="16">
        <v>6</v>
      </c>
      <c r="C105" s="22" t="s">
        <v>198</v>
      </c>
      <c r="D105" s="22" t="s">
        <v>12</v>
      </c>
      <c r="E105" s="59" t="s">
        <v>199</v>
      </c>
      <c r="F105" s="23">
        <v>6</v>
      </c>
      <c r="G105" s="22" t="s">
        <v>200</v>
      </c>
      <c r="H105" s="69">
        <f>120000/1.12</f>
        <v>107142.85714285713</v>
      </c>
      <c r="I105" s="68">
        <v>642857.14285714272</v>
      </c>
      <c r="J105" s="7"/>
    </row>
    <row r="106" spans="1:10" ht="47.25" x14ac:dyDescent="0.25">
      <c r="B106" s="16">
        <v>7</v>
      </c>
      <c r="C106" s="22" t="s">
        <v>201</v>
      </c>
      <c r="D106" s="22" t="s">
        <v>12</v>
      </c>
      <c r="E106" s="59" t="s">
        <v>202</v>
      </c>
      <c r="F106" s="23">
        <v>2</v>
      </c>
      <c r="G106" s="22" t="s">
        <v>189</v>
      </c>
      <c r="H106" s="69">
        <v>40000</v>
      </c>
      <c r="I106" s="68">
        <v>80000</v>
      </c>
      <c r="J106" s="7"/>
    </row>
    <row r="107" spans="1:10" ht="110.25" x14ac:dyDescent="0.25">
      <c r="B107" s="16">
        <v>8</v>
      </c>
      <c r="C107" s="35" t="s">
        <v>203</v>
      </c>
      <c r="D107" s="35" t="s">
        <v>211</v>
      </c>
      <c r="E107" s="61" t="s">
        <v>204</v>
      </c>
      <c r="F107" s="23">
        <v>3</v>
      </c>
      <c r="G107" s="35" t="s">
        <v>189</v>
      </c>
      <c r="H107" s="70"/>
      <c r="I107" s="69">
        <v>424714.28571428568</v>
      </c>
      <c r="J107" s="7"/>
    </row>
    <row r="108" spans="1:10" ht="110.25" x14ac:dyDescent="0.25">
      <c r="B108" s="16">
        <v>9</v>
      </c>
      <c r="C108" s="22" t="s">
        <v>205</v>
      </c>
      <c r="D108" s="35" t="s">
        <v>212</v>
      </c>
      <c r="E108" s="62" t="s">
        <v>206</v>
      </c>
      <c r="F108" s="23">
        <v>1</v>
      </c>
      <c r="G108" s="22" t="s">
        <v>189</v>
      </c>
      <c r="H108" s="70"/>
      <c r="I108" s="69">
        <v>42857.14</v>
      </c>
      <c r="J108" s="7"/>
    </row>
    <row r="109" spans="1:10" ht="78.75" x14ac:dyDescent="0.25">
      <c r="B109" s="16">
        <v>10</v>
      </c>
      <c r="C109" s="22" t="s">
        <v>225</v>
      </c>
      <c r="D109" s="35" t="s">
        <v>226</v>
      </c>
      <c r="E109" s="59" t="s">
        <v>227</v>
      </c>
      <c r="F109" s="23">
        <v>1</v>
      </c>
      <c r="G109" s="22" t="s">
        <v>189</v>
      </c>
      <c r="H109" s="68">
        <f>30000/1.12</f>
        <v>26785.714285714283</v>
      </c>
      <c r="I109" s="69">
        <v>26785.71</v>
      </c>
      <c r="J109" s="7"/>
    </row>
    <row r="110" spans="1:10" ht="204.75" x14ac:dyDescent="0.25">
      <c r="B110" s="16">
        <v>11</v>
      </c>
      <c r="C110" s="22" t="s">
        <v>232</v>
      </c>
      <c r="D110" s="35" t="s">
        <v>231</v>
      </c>
      <c r="E110" s="62" t="s">
        <v>233</v>
      </c>
      <c r="F110" s="23">
        <v>1</v>
      </c>
      <c r="G110" s="22" t="s">
        <v>230</v>
      </c>
      <c r="H110" s="70"/>
      <c r="I110" s="69">
        <v>6002986.1100000003</v>
      </c>
      <c r="J110" s="7"/>
    </row>
    <row r="111" spans="1:10" ht="173.25" x14ac:dyDescent="0.25">
      <c r="B111" s="36">
        <v>12</v>
      </c>
      <c r="C111" s="37" t="s">
        <v>234</v>
      </c>
      <c r="D111" s="35" t="s">
        <v>231</v>
      </c>
      <c r="E111" s="63" t="s">
        <v>235</v>
      </c>
      <c r="F111" s="36">
        <v>1</v>
      </c>
      <c r="G111" s="38" t="s">
        <v>189</v>
      </c>
      <c r="H111" s="70">
        <v>732696.77</v>
      </c>
      <c r="I111" s="70">
        <v>732696.77</v>
      </c>
      <c r="J111" s="7"/>
    </row>
    <row r="112" spans="1:10" s="32" customFormat="1" x14ac:dyDescent="0.25">
      <c r="A112" s="28"/>
      <c r="B112" s="124" t="s">
        <v>207</v>
      </c>
      <c r="C112" s="125"/>
      <c r="D112" s="29" t="s">
        <v>183</v>
      </c>
      <c r="E112" s="60" t="s">
        <v>183</v>
      </c>
      <c r="F112" s="30" t="s">
        <v>183</v>
      </c>
      <c r="G112" s="29"/>
      <c r="H112" s="31" t="s">
        <v>183</v>
      </c>
      <c r="I112" s="31">
        <f>SUM(I100:I111)</f>
        <v>17332772.15857143</v>
      </c>
    </row>
    <row r="113" spans="1:10" s="32" customFormat="1" x14ac:dyDescent="0.25">
      <c r="A113" s="28"/>
      <c r="B113" s="124" t="s">
        <v>208</v>
      </c>
      <c r="C113" s="125"/>
      <c r="D113" s="29" t="s">
        <v>183</v>
      </c>
      <c r="E113" s="60" t="s">
        <v>183</v>
      </c>
      <c r="F113" s="30" t="s">
        <v>183</v>
      </c>
      <c r="G113" s="29"/>
      <c r="H113" s="31" t="s">
        <v>183</v>
      </c>
      <c r="I113" s="75">
        <f>I95+I98+I112</f>
        <v>2423849892.5514283</v>
      </c>
    </row>
    <row r="114" spans="1:10" s="32" customFormat="1" x14ac:dyDescent="0.25">
      <c r="A114" s="28"/>
      <c r="B114" s="39"/>
      <c r="C114" s="40"/>
      <c r="D114" s="40"/>
      <c r="E114" s="64"/>
      <c r="F114" s="39"/>
      <c r="G114" s="40"/>
      <c r="H114" s="82"/>
      <c r="I114" s="76"/>
      <c r="J114" s="41"/>
    </row>
    <row r="115" spans="1:10" x14ac:dyDescent="0.25">
      <c r="B115" s="66" t="s">
        <v>209</v>
      </c>
    </row>
    <row r="116" spans="1:10" x14ac:dyDescent="0.25">
      <c r="B116" s="126" t="s">
        <v>224</v>
      </c>
      <c r="C116" s="126"/>
      <c r="D116" s="126"/>
      <c r="E116" s="126"/>
      <c r="F116" s="126"/>
      <c r="G116" s="126"/>
      <c r="H116" s="126"/>
      <c r="I116" s="126"/>
      <c r="J116" s="126"/>
    </row>
    <row r="117" spans="1:10" x14ac:dyDescent="0.25">
      <c r="B117" s="126" t="s">
        <v>210</v>
      </c>
      <c r="C117" s="126"/>
      <c r="D117" s="126"/>
      <c r="E117" s="126"/>
      <c r="F117" s="126"/>
      <c r="G117" s="126"/>
      <c r="H117" s="126"/>
      <c r="I117" s="126"/>
      <c r="J117" s="126"/>
    </row>
    <row r="118" spans="1:10" x14ac:dyDescent="0.25">
      <c r="B118" s="42"/>
      <c r="C118" s="43"/>
      <c r="D118" s="43"/>
      <c r="E118" s="65"/>
      <c r="F118" s="42"/>
      <c r="G118" s="43"/>
      <c r="H118" s="77"/>
      <c r="I118" s="77"/>
      <c r="J118" s="43"/>
    </row>
    <row r="120" spans="1:10" s="44" customFormat="1" x14ac:dyDescent="0.25">
      <c r="B120" s="121" t="s">
        <v>236</v>
      </c>
      <c r="C120" s="121"/>
      <c r="D120" s="121"/>
      <c r="E120" s="121"/>
      <c r="F120" s="121"/>
      <c r="G120" s="121"/>
      <c r="H120" s="121"/>
      <c r="I120" s="71"/>
      <c r="J120" s="10"/>
    </row>
    <row r="122" spans="1:10" s="48" customFormat="1" x14ac:dyDescent="0.25">
      <c r="A122" s="45"/>
      <c r="B122" s="46"/>
      <c r="C122" s="6" t="s">
        <v>222</v>
      </c>
      <c r="D122" s="45"/>
      <c r="E122" s="54"/>
      <c r="F122" s="46"/>
      <c r="G122" s="45"/>
      <c r="H122" s="78"/>
      <c r="I122" s="78"/>
      <c r="J122" s="47"/>
    </row>
    <row r="123" spans="1:10" x14ac:dyDescent="0.25">
      <c r="A123" s="7"/>
      <c r="B123" s="121" t="s">
        <v>239</v>
      </c>
      <c r="C123" s="121"/>
      <c r="D123" s="121"/>
      <c r="E123" s="121"/>
      <c r="F123" s="121"/>
      <c r="G123" s="121"/>
      <c r="H123" s="121"/>
    </row>
    <row r="124" spans="1:10" x14ac:dyDescent="0.25">
      <c r="I124" s="78"/>
    </row>
  </sheetData>
  <mergeCells count="13">
    <mergeCell ref="B123:H123"/>
    <mergeCell ref="B99:C99"/>
    <mergeCell ref="B96:C96"/>
    <mergeCell ref="B8:C8"/>
    <mergeCell ref="B112:C112"/>
    <mergeCell ref="B113:C113"/>
    <mergeCell ref="B116:J116"/>
    <mergeCell ref="B117:J117"/>
    <mergeCell ref="G1:I1"/>
    <mergeCell ref="G2:I2"/>
    <mergeCell ref="B3:I3"/>
    <mergeCell ref="B4:I4"/>
    <mergeCell ref="B120:H120"/>
  </mergeCells>
  <pageMargins left="0.7" right="0.7" top="0.75" bottom="0.75" header="0.3" footer="0.3"/>
  <pageSetup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55"/>
  <sheetViews>
    <sheetView tabSelected="1" topLeftCell="A40" zoomScale="80" zoomScaleNormal="80" workbookViewId="0">
      <selection activeCell="C43" sqref="C43:G43"/>
    </sheetView>
  </sheetViews>
  <sheetFormatPr defaultRowHeight="15.75" outlineLevelRow="1" x14ac:dyDescent="0.25"/>
  <cols>
    <col min="1" max="1" width="2.42578125" style="6" customWidth="1"/>
    <col min="2" max="2" width="6.28515625" style="9" customWidth="1"/>
    <col min="3" max="3" width="24.85546875" style="6" customWidth="1"/>
    <col min="4" max="4" width="23.7109375" style="6" customWidth="1"/>
    <col min="5" max="5" width="76.5703125" style="54" customWidth="1"/>
    <col min="6" max="6" width="11.140625" style="9" customWidth="1"/>
    <col min="7" max="7" width="12.42578125" style="6" customWidth="1"/>
    <col min="8" max="8" width="13.85546875" style="71" customWidth="1"/>
    <col min="9" max="9" width="19.140625" style="71" customWidth="1"/>
    <col min="10" max="16384" width="9.140625" style="7"/>
  </cols>
  <sheetData>
    <row r="1" spans="1:9" s="4" customFormat="1" ht="119.25" customHeight="1" x14ac:dyDescent="0.25">
      <c r="A1" s="1"/>
      <c r="B1" s="2"/>
      <c r="C1" s="1"/>
      <c r="D1" s="1"/>
      <c r="E1" s="53"/>
      <c r="F1" s="3"/>
      <c r="G1" s="119" t="s">
        <v>285</v>
      </c>
      <c r="H1" s="119"/>
      <c r="I1" s="119"/>
    </row>
    <row r="2" spans="1:9" x14ac:dyDescent="0.25">
      <c r="B2" s="120" t="s">
        <v>243</v>
      </c>
      <c r="C2" s="120"/>
      <c r="D2" s="120"/>
      <c r="E2" s="120"/>
      <c r="F2" s="120"/>
      <c r="G2" s="120"/>
      <c r="H2" s="120"/>
      <c r="I2" s="120"/>
    </row>
    <row r="3" spans="1:9" x14ac:dyDescent="0.25">
      <c r="B3" s="120" t="s">
        <v>1</v>
      </c>
      <c r="C3" s="120"/>
      <c r="D3" s="120"/>
      <c r="E3" s="120"/>
      <c r="F3" s="120"/>
      <c r="G3" s="120"/>
      <c r="H3" s="120"/>
      <c r="I3" s="120"/>
    </row>
    <row r="4" spans="1:9" x14ac:dyDescent="0.25">
      <c r="B4" s="8"/>
    </row>
    <row r="5" spans="1:9" s="15" customFormat="1" ht="81.75" customHeight="1" x14ac:dyDescent="0.25">
      <c r="A5" s="11"/>
      <c r="B5" s="113" t="s">
        <v>2</v>
      </c>
      <c r="C5" s="88" t="s">
        <v>3</v>
      </c>
      <c r="D5" s="88" t="s">
        <v>4</v>
      </c>
      <c r="E5" s="114" t="s">
        <v>5</v>
      </c>
      <c r="F5" s="113" t="s">
        <v>6</v>
      </c>
      <c r="G5" s="88" t="s">
        <v>7</v>
      </c>
      <c r="H5" s="115" t="s">
        <v>244</v>
      </c>
      <c r="I5" s="115" t="s">
        <v>9</v>
      </c>
    </row>
    <row r="6" spans="1:9" s="18" customFormat="1" x14ac:dyDescent="0.25">
      <c r="A6" s="9"/>
      <c r="B6" s="89">
        <v>1</v>
      </c>
      <c r="C6" s="89">
        <v>2</v>
      </c>
      <c r="D6" s="89">
        <v>3</v>
      </c>
      <c r="E6" s="90">
        <v>4</v>
      </c>
      <c r="F6" s="89">
        <v>5</v>
      </c>
      <c r="G6" s="89">
        <v>6</v>
      </c>
      <c r="H6" s="91">
        <v>7</v>
      </c>
      <c r="I6" s="91">
        <v>8</v>
      </c>
    </row>
    <row r="7" spans="1:9" x14ac:dyDescent="0.25">
      <c r="B7" s="128" t="s">
        <v>10</v>
      </c>
      <c r="C7" s="128"/>
      <c r="D7" s="116"/>
      <c r="E7" s="117"/>
      <c r="F7" s="116"/>
      <c r="G7" s="116"/>
      <c r="H7" s="118"/>
      <c r="I7" s="118"/>
    </row>
    <row r="8" spans="1:9" s="85" customFormat="1" ht="78" customHeight="1" outlineLevel="1" x14ac:dyDescent="0.25">
      <c r="A8" s="84"/>
      <c r="B8" s="92">
        <v>1</v>
      </c>
      <c r="C8" s="93" t="s">
        <v>25</v>
      </c>
      <c r="D8" s="94" t="s">
        <v>228</v>
      </c>
      <c r="E8" s="95" t="s">
        <v>26</v>
      </c>
      <c r="F8" s="96">
        <v>144</v>
      </c>
      <c r="G8" s="93" t="s">
        <v>27</v>
      </c>
      <c r="H8" s="97">
        <f>549.36/1.12</f>
        <v>490.49999999999994</v>
      </c>
      <c r="I8" s="98">
        <f t="shared" ref="I8" si="0">F8*H8</f>
        <v>70631.999999999985</v>
      </c>
    </row>
    <row r="9" spans="1:9" s="85" customFormat="1" ht="36" customHeight="1" outlineLevel="1" x14ac:dyDescent="0.25">
      <c r="B9" s="92">
        <v>2</v>
      </c>
      <c r="C9" s="99" t="s">
        <v>28</v>
      </c>
      <c r="D9" s="94" t="s">
        <v>228</v>
      </c>
      <c r="E9" s="95" t="s">
        <v>263</v>
      </c>
      <c r="F9" s="100">
        <v>5</v>
      </c>
      <c r="G9" s="99" t="s">
        <v>14</v>
      </c>
      <c r="H9" s="98">
        <f>230/1.12</f>
        <v>205.35714285714283</v>
      </c>
      <c r="I9" s="98">
        <f>F9*H9</f>
        <v>1026.7857142857142</v>
      </c>
    </row>
    <row r="10" spans="1:9" s="85" customFormat="1" ht="36" customHeight="1" outlineLevel="1" x14ac:dyDescent="0.25">
      <c r="B10" s="92">
        <v>3</v>
      </c>
      <c r="C10" s="99" t="s">
        <v>39</v>
      </c>
      <c r="D10" s="94" t="s">
        <v>228</v>
      </c>
      <c r="E10" s="95" t="s">
        <v>264</v>
      </c>
      <c r="F10" s="100">
        <v>10</v>
      </c>
      <c r="G10" s="99" t="s">
        <v>32</v>
      </c>
      <c r="H10" s="98">
        <f>170/1.12</f>
        <v>151.78571428571428</v>
      </c>
      <c r="I10" s="98">
        <f t="shared" ref="I10:I22" si="1">F10*H10</f>
        <v>1517.8571428571427</v>
      </c>
    </row>
    <row r="11" spans="1:9" s="85" customFormat="1" ht="63" outlineLevel="1" x14ac:dyDescent="0.25">
      <c r="B11" s="92">
        <v>4</v>
      </c>
      <c r="C11" s="99" t="s">
        <v>72</v>
      </c>
      <c r="D11" s="94" t="s">
        <v>228</v>
      </c>
      <c r="E11" s="95" t="s">
        <v>73</v>
      </c>
      <c r="F11" s="100">
        <v>5</v>
      </c>
      <c r="G11" s="99" t="s">
        <v>14</v>
      </c>
      <c r="H11" s="98">
        <f>450/1.12</f>
        <v>401.78571428571422</v>
      </c>
      <c r="I11" s="98">
        <f t="shared" si="1"/>
        <v>2008.9285714285711</v>
      </c>
    </row>
    <row r="12" spans="1:9" s="85" customFormat="1" ht="42" customHeight="1" outlineLevel="1" x14ac:dyDescent="0.25">
      <c r="B12" s="92">
        <v>5</v>
      </c>
      <c r="C12" s="99" t="s">
        <v>90</v>
      </c>
      <c r="D12" s="94" t="s">
        <v>228</v>
      </c>
      <c r="E12" s="95" t="s">
        <v>91</v>
      </c>
      <c r="F12" s="100">
        <v>5</v>
      </c>
      <c r="G12" s="99" t="s">
        <v>14</v>
      </c>
      <c r="H12" s="98">
        <f>190/1.12</f>
        <v>169.64285714285714</v>
      </c>
      <c r="I12" s="98">
        <f t="shared" si="1"/>
        <v>848.21428571428567</v>
      </c>
    </row>
    <row r="13" spans="1:9" s="85" customFormat="1" ht="42" customHeight="1" outlineLevel="1" x14ac:dyDescent="0.25">
      <c r="B13" s="92">
        <v>6</v>
      </c>
      <c r="C13" s="99" t="s">
        <v>265</v>
      </c>
      <c r="D13" s="94" t="s">
        <v>228</v>
      </c>
      <c r="E13" s="95" t="s">
        <v>266</v>
      </c>
      <c r="F13" s="100">
        <v>2</v>
      </c>
      <c r="G13" s="99" t="s">
        <v>32</v>
      </c>
      <c r="H13" s="98">
        <f>3000/1.12</f>
        <v>2678.5714285714284</v>
      </c>
      <c r="I13" s="98">
        <f t="shared" si="1"/>
        <v>5357.1428571428569</v>
      </c>
    </row>
    <row r="14" spans="1:9" s="85" customFormat="1" ht="90" customHeight="1" outlineLevel="1" x14ac:dyDescent="0.25">
      <c r="B14" s="92">
        <v>7</v>
      </c>
      <c r="C14" s="99" t="s">
        <v>120</v>
      </c>
      <c r="D14" s="94" t="s">
        <v>228</v>
      </c>
      <c r="E14" s="95" t="s">
        <v>278</v>
      </c>
      <c r="F14" s="100">
        <v>50</v>
      </c>
      <c r="G14" s="99" t="s">
        <v>14</v>
      </c>
      <c r="H14" s="98">
        <f>850/1.2</f>
        <v>708.33333333333337</v>
      </c>
      <c r="I14" s="98">
        <f t="shared" si="1"/>
        <v>35416.666666666672</v>
      </c>
    </row>
    <row r="15" spans="1:9" s="85" customFormat="1" ht="90" customHeight="1" outlineLevel="1" x14ac:dyDescent="0.25">
      <c r="B15" s="92">
        <v>8</v>
      </c>
      <c r="C15" s="99" t="s">
        <v>122</v>
      </c>
      <c r="D15" s="94" t="s">
        <v>228</v>
      </c>
      <c r="E15" s="95" t="s">
        <v>277</v>
      </c>
      <c r="F15" s="100">
        <v>80</v>
      </c>
      <c r="G15" s="99" t="s">
        <v>14</v>
      </c>
      <c r="H15" s="98">
        <f>1500/1.2</f>
        <v>1250</v>
      </c>
      <c r="I15" s="98">
        <f t="shared" si="1"/>
        <v>100000</v>
      </c>
    </row>
    <row r="16" spans="1:9" s="85" customFormat="1" ht="36" customHeight="1" outlineLevel="1" x14ac:dyDescent="0.25">
      <c r="B16" s="92">
        <v>9</v>
      </c>
      <c r="C16" s="99" t="s">
        <v>142</v>
      </c>
      <c r="D16" s="94" t="s">
        <v>228</v>
      </c>
      <c r="E16" s="95" t="s">
        <v>143</v>
      </c>
      <c r="F16" s="100">
        <v>30</v>
      </c>
      <c r="G16" s="99" t="s">
        <v>14</v>
      </c>
      <c r="H16" s="98">
        <f>250/1.2</f>
        <v>208.33333333333334</v>
      </c>
      <c r="I16" s="98">
        <f t="shared" si="1"/>
        <v>6250</v>
      </c>
    </row>
    <row r="17" spans="1:9" s="85" customFormat="1" ht="36" customHeight="1" outlineLevel="1" x14ac:dyDescent="0.25">
      <c r="B17" s="92">
        <v>10</v>
      </c>
      <c r="C17" s="99" t="s">
        <v>144</v>
      </c>
      <c r="D17" s="94" t="s">
        <v>228</v>
      </c>
      <c r="E17" s="95" t="s">
        <v>145</v>
      </c>
      <c r="F17" s="100">
        <v>10</v>
      </c>
      <c r="G17" s="99" t="s">
        <v>14</v>
      </c>
      <c r="H17" s="98">
        <f t="shared" ref="H17:H18" si="2">250/1.2</f>
        <v>208.33333333333334</v>
      </c>
      <c r="I17" s="98">
        <f t="shared" si="1"/>
        <v>2083.3333333333335</v>
      </c>
    </row>
    <row r="18" spans="1:9" s="85" customFormat="1" ht="36" customHeight="1" outlineLevel="1" x14ac:dyDescent="0.25">
      <c r="B18" s="92">
        <v>11</v>
      </c>
      <c r="C18" s="99" t="s">
        <v>146</v>
      </c>
      <c r="D18" s="94" t="s">
        <v>228</v>
      </c>
      <c r="E18" s="95" t="s">
        <v>147</v>
      </c>
      <c r="F18" s="100">
        <v>10</v>
      </c>
      <c r="G18" s="99" t="s">
        <v>14</v>
      </c>
      <c r="H18" s="98">
        <f t="shared" si="2"/>
        <v>208.33333333333334</v>
      </c>
      <c r="I18" s="98">
        <f t="shared" si="1"/>
        <v>2083.3333333333335</v>
      </c>
    </row>
    <row r="19" spans="1:9" s="85" customFormat="1" ht="96.75" customHeight="1" outlineLevel="1" x14ac:dyDescent="0.25">
      <c r="B19" s="92">
        <v>12</v>
      </c>
      <c r="C19" s="99" t="s">
        <v>267</v>
      </c>
      <c r="D19" s="94" t="s">
        <v>228</v>
      </c>
      <c r="E19" s="95" t="s">
        <v>268</v>
      </c>
      <c r="F19" s="100">
        <v>1</v>
      </c>
      <c r="G19" s="99" t="s">
        <v>14</v>
      </c>
      <c r="H19" s="98">
        <f>8000/1.2</f>
        <v>6666.666666666667</v>
      </c>
      <c r="I19" s="98">
        <f t="shared" si="1"/>
        <v>6666.666666666667</v>
      </c>
    </row>
    <row r="20" spans="1:9" s="85" customFormat="1" ht="55.5" customHeight="1" outlineLevel="1" x14ac:dyDescent="0.25">
      <c r="A20" s="84"/>
      <c r="B20" s="92">
        <v>13</v>
      </c>
      <c r="C20" s="99" t="s">
        <v>166</v>
      </c>
      <c r="D20" s="94" t="s">
        <v>228</v>
      </c>
      <c r="E20" s="95" t="s">
        <v>167</v>
      </c>
      <c r="F20" s="100">
        <v>10</v>
      </c>
      <c r="G20" s="99" t="s">
        <v>14</v>
      </c>
      <c r="H20" s="98">
        <f>2000/1.2</f>
        <v>1666.6666666666667</v>
      </c>
      <c r="I20" s="98">
        <f t="shared" si="1"/>
        <v>16666.666666666668</v>
      </c>
    </row>
    <row r="21" spans="1:9" s="85" customFormat="1" ht="55.5" customHeight="1" outlineLevel="1" x14ac:dyDescent="0.25">
      <c r="A21" s="84"/>
      <c r="B21" s="92">
        <v>14</v>
      </c>
      <c r="C21" s="99" t="s">
        <v>269</v>
      </c>
      <c r="D21" s="94" t="s">
        <v>228</v>
      </c>
      <c r="E21" s="95" t="s">
        <v>270</v>
      </c>
      <c r="F21" s="100">
        <v>10</v>
      </c>
      <c r="G21" s="99" t="s">
        <v>14</v>
      </c>
      <c r="H21" s="98">
        <f>1500/1.2</f>
        <v>1250</v>
      </c>
      <c r="I21" s="98">
        <f t="shared" si="1"/>
        <v>12500</v>
      </c>
    </row>
    <row r="22" spans="1:9" s="85" customFormat="1" ht="71.25" customHeight="1" outlineLevel="1" x14ac:dyDescent="0.25">
      <c r="A22" s="84"/>
      <c r="B22" s="92">
        <v>15</v>
      </c>
      <c r="C22" s="99" t="s">
        <v>174</v>
      </c>
      <c r="D22" s="94" t="s">
        <v>228</v>
      </c>
      <c r="E22" s="95" t="s">
        <v>175</v>
      </c>
      <c r="F22" s="100">
        <v>2</v>
      </c>
      <c r="G22" s="99" t="s">
        <v>14</v>
      </c>
      <c r="H22" s="98">
        <f>350/1.2</f>
        <v>291.66666666666669</v>
      </c>
      <c r="I22" s="98">
        <f t="shared" si="1"/>
        <v>583.33333333333337</v>
      </c>
    </row>
    <row r="23" spans="1:9" s="32" customFormat="1" x14ac:dyDescent="0.25">
      <c r="A23" s="28"/>
      <c r="B23" s="127" t="s">
        <v>182</v>
      </c>
      <c r="C23" s="127"/>
      <c r="D23" s="101" t="s">
        <v>183</v>
      </c>
      <c r="E23" s="102" t="s">
        <v>183</v>
      </c>
      <c r="F23" s="103" t="s">
        <v>183</v>
      </c>
      <c r="G23" s="101"/>
      <c r="H23" s="104" t="s">
        <v>183</v>
      </c>
      <c r="I23" s="104">
        <f>SUM(I8:I22)</f>
        <v>263640.92857142852</v>
      </c>
    </row>
    <row r="24" spans="1:9" x14ac:dyDescent="0.25">
      <c r="B24" s="128" t="s">
        <v>184</v>
      </c>
      <c r="C24" s="128"/>
      <c r="D24" s="116"/>
      <c r="E24" s="117"/>
      <c r="F24" s="116"/>
      <c r="G24" s="116"/>
      <c r="H24" s="118"/>
      <c r="I24" s="118"/>
    </row>
    <row r="25" spans="1:9" outlineLevel="1" x14ac:dyDescent="0.25">
      <c r="B25" s="92"/>
      <c r="C25" s="105"/>
      <c r="D25" s="94"/>
      <c r="E25" s="95"/>
      <c r="F25" s="100"/>
      <c r="G25" s="93"/>
      <c r="H25" s="98"/>
      <c r="I25" s="98"/>
    </row>
    <row r="26" spans="1:9" s="32" customFormat="1" x14ac:dyDescent="0.25">
      <c r="A26" s="28"/>
      <c r="B26" s="127" t="s">
        <v>185</v>
      </c>
      <c r="C26" s="127"/>
      <c r="D26" s="101" t="s">
        <v>183</v>
      </c>
      <c r="E26" s="102" t="s">
        <v>183</v>
      </c>
      <c r="F26" s="103" t="s">
        <v>183</v>
      </c>
      <c r="G26" s="101"/>
      <c r="H26" s="104" t="s">
        <v>183</v>
      </c>
      <c r="I26" s="104">
        <v>0</v>
      </c>
    </row>
    <row r="27" spans="1:9" s="32" customFormat="1" x14ac:dyDescent="0.25">
      <c r="A27" s="28"/>
      <c r="B27" s="128" t="s">
        <v>186</v>
      </c>
      <c r="C27" s="128"/>
      <c r="D27" s="116"/>
      <c r="E27" s="117"/>
      <c r="F27" s="116"/>
      <c r="G27" s="116"/>
      <c r="H27" s="118"/>
      <c r="I27" s="118"/>
    </row>
    <row r="28" spans="1:9" s="85" customFormat="1" ht="36.75" customHeight="1" outlineLevel="1" x14ac:dyDescent="0.25">
      <c r="A28" s="84"/>
      <c r="B28" s="92">
        <v>1</v>
      </c>
      <c r="C28" s="93" t="s">
        <v>256</v>
      </c>
      <c r="D28" s="106" t="s">
        <v>258</v>
      </c>
      <c r="E28" s="95" t="s">
        <v>247</v>
      </c>
      <c r="F28" s="96">
        <v>1</v>
      </c>
      <c r="G28" s="93" t="s">
        <v>189</v>
      </c>
      <c r="H28" s="107">
        <v>71428.570000000007</v>
      </c>
      <c r="I28" s="98">
        <f t="shared" ref="I28:I44" si="3">F28*H28</f>
        <v>71428.570000000007</v>
      </c>
    </row>
    <row r="29" spans="1:9" s="87" customFormat="1" ht="36.75" customHeight="1" outlineLevel="1" x14ac:dyDescent="0.25">
      <c r="A29" s="86"/>
      <c r="B29" s="96">
        <v>2</v>
      </c>
      <c r="C29" s="93" t="s">
        <v>194</v>
      </c>
      <c r="D29" s="93" t="s">
        <v>12</v>
      </c>
      <c r="E29" s="95" t="s">
        <v>279</v>
      </c>
      <c r="F29" s="96">
        <v>1</v>
      </c>
      <c r="G29" s="93" t="s">
        <v>189</v>
      </c>
      <c r="H29" s="108">
        <v>671000</v>
      </c>
      <c r="I29" s="108">
        <f>F29*H29</f>
        <v>671000</v>
      </c>
    </row>
    <row r="30" spans="1:9" s="87" customFormat="1" ht="144.75" customHeight="1" outlineLevel="1" x14ac:dyDescent="0.25">
      <c r="A30" s="86"/>
      <c r="B30" s="96">
        <v>3</v>
      </c>
      <c r="C30" s="93" t="s">
        <v>245</v>
      </c>
      <c r="D30" s="93" t="s">
        <v>12</v>
      </c>
      <c r="E30" s="95" t="s">
        <v>246</v>
      </c>
      <c r="F30" s="96">
        <v>1</v>
      </c>
      <c r="G30" s="93" t="s">
        <v>189</v>
      </c>
      <c r="H30" s="108">
        <v>5499999.9999999991</v>
      </c>
      <c r="I30" s="108">
        <f t="shared" ref="I30:I40" si="4">F30*H30</f>
        <v>5499999.9999999991</v>
      </c>
    </row>
    <row r="31" spans="1:9" s="87" customFormat="1" ht="105" customHeight="1" outlineLevel="1" x14ac:dyDescent="0.25">
      <c r="A31" s="86"/>
      <c r="B31" s="92">
        <v>4</v>
      </c>
      <c r="C31" s="95" t="s">
        <v>248</v>
      </c>
      <c r="D31" s="93" t="s">
        <v>12</v>
      </c>
      <c r="E31" s="95" t="s">
        <v>249</v>
      </c>
      <c r="F31" s="96">
        <v>1</v>
      </c>
      <c r="G31" s="93" t="s">
        <v>189</v>
      </c>
      <c r="H31" s="108">
        <v>434971.43</v>
      </c>
      <c r="I31" s="108">
        <f t="shared" si="4"/>
        <v>434971.43</v>
      </c>
    </row>
    <row r="32" spans="1:9" s="87" customFormat="1" ht="31.5" outlineLevel="1" x14ac:dyDescent="0.25">
      <c r="A32" s="86"/>
      <c r="B32" s="96">
        <v>5</v>
      </c>
      <c r="C32" s="106" t="s">
        <v>203</v>
      </c>
      <c r="D32" s="106" t="s">
        <v>259</v>
      </c>
      <c r="E32" s="109" t="s">
        <v>262</v>
      </c>
      <c r="F32" s="96">
        <v>1</v>
      </c>
      <c r="G32" s="106" t="s">
        <v>189</v>
      </c>
      <c r="H32" s="110">
        <v>454499.99999999994</v>
      </c>
      <c r="I32" s="108">
        <f>F32*H32</f>
        <v>454499.99999999994</v>
      </c>
    </row>
    <row r="33" spans="1:9" s="87" customFormat="1" ht="83.25" customHeight="1" outlineLevel="1" x14ac:dyDescent="0.25">
      <c r="A33" s="86"/>
      <c r="B33" s="92">
        <v>6</v>
      </c>
      <c r="C33" s="106" t="s">
        <v>250</v>
      </c>
      <c r="D33" s="106" t="s">
        <v>260</v>
      </c>
      <c r="E33" s="106" t="s">
        <v>251</v>
      </c>
      <c r="F33" s="96">
        <v>1</v>
      </c>
      <c r="G33" s="106" t="s">
        <v>189</v>
      </c>
      <c r="H33" s="110">
        <v>1210608</v>
      </c>
      <c r="I33" s="108">
        <f t="shared" si="4"/>
        <v>1210608</v>
      </c>
    </row>
    <row r="34" spans="1:9" s="87" customFormat="1" ht="90" customHeight="1" outlineLevel="1" x14ac:dyDescent="0.25">
      <c r="A34" s="86"/>
      <c r="B34" s="96">
        <v>7</v>
      </c>
      <c r="C34" s="106" t="s">
        <v>250</v>
      </c>
      <c r="D34" s="106" t="s">
        <v>260</v>
      </c>
      <c r="E34" s="106" t="s">
        <v>252</v>
      </c>
      <c r="F34" s="96">
        <v>1</v>
      </c>
      <c r="G34" s="106" t="s">
        <v>189</v>
      </c>
      <c r="H34" s="110">
        <v>383999.99999999994</v>
      </c>
      <c r="I34" s="108">
        <f t="shared" si="4"/>
        <v>383999.99999999994</v>
      </c>
    </row>
    <row r="35" spans="1:9" s="87" customFormat="1" ht="90" customHeight="1" outlineLevel="1" x14ac:dyDescent="0.25">
      <c r="A35" s="86"/>
      <c r="B35" s="92">
        <v>8</v>
      </c>
      <c r="C35" s="106" t="s">
        <v>253</v>
      </c>
      <c r="D35" s="106" t="s">
        <v>260</v>
      </c>
      <c r="E35" s="106" t="s">
        <v>272</v>
      </c>
      <c r="F35" s="96">
        <v>1</v>
      </c>
      <c r="G35" s="106" t="s">
        <v>189</v>
      </c>
      <c r="H35" s="108">
        <v>3338260.8</v>
      </c>
      <c r="I35" s="108">
        <f t="shared" si="4"/>
        <v>3338260.8</v>
      </c>
    </row>
    <row r="36" spans="1:9" s="87" customFormat="1" ht="79.5" customHeight="1" outlineLevel="1" x14ac:dyDescent="0.25">
      <c r="A36" s="86"/>
      <c r="B36" s="96">
        <v>9</v>
      </c>
      <c r="C36" s="106" t="s">
        <v>253</v>
      </c>
      <c r="D36" s="106" t="s">
        <v>260</v>
      </c>
      <c r="E36" s="106" t="s">
        <v>273</v>
      </c>
      <c r="F36" s="96">
        <v>1</v>
      </c>
      <c r="G36" s="106" t="s">
        <v>189</v>
      </c>
      <c r="H36" s="108">
        <v>755200</v>
      </c>
      <c r="I36" s="108">
        <f t="shared" si="4"/>
        <v>755200</v>
      </c>
    </row>
    <row r="37" spans="1:9" s="87" customFormat="1" ht="81" customHeight="1" outlineLevel="1" x14ac:dyDescent="0.25">
      <c r="A37" s="86"/>
      <c r="B37" s="92">
        <v>10</v>
      </c>
      <c r="C37" s="106" t="s">
        <v>254</v>
      </c>
      <c r="D37" s="106" t="s">
        <v>260</v>
      </c>
      <c r="E37" s="106" t="s">
        <v>274</v>
      </c>
      <c r="F37" s="96">
        <v>1</v>
      </c>
      <c r="G37" s="106" t="s">
        <v>189</v>
      </c>
      <c r="H37" s="110">
        <v>320520</v>
      </c>
      <c r="I37" s="108">
        <f t="shared" si="4"/>
        <v>320520</v>
      </c>
    </row>
    <row r="38" spans="1:9" s="87" customFormat="1" ht="85.5" customHeight="1" outlineLevel="1" x14ac:dyDescent="0.25">
      <c r="A38" s="86"/>
      <c r="B38" s="96">
        <v>11</v>
      </c>
      <c r="C38" s="106" t="s">
        <v>255</v>
      </c>
      <c r="D38" s="106" t="s">
        <v>260</v>
      </c>
      <c r="E38" s="106" t="s">
        <v>275</v>
      </c>
      <c r="F38" s="96">
        <v>1</v>
      </c>
      <c r="G38" s="106" t="s">
        <v>189</v>
      </c>
      <c r="H38" s="110">
        <v>372420</v>
      </c>
      <c r="I38" s="108">
        <f t="shared" si="4"/>
        <v>372420</v>
      </c>
    </row>
    <row r="39" spans="1:9" s="87" customFormat="1" ht="57.75" customHeight="1" outlineLevel="1" x14ac:dyDescent="0.25">
      <c r="A39" s="86"/>
      <c r="B39" s="92">
        <v>12</v>
      </c>
      <c r="C39" s="111" t="s">
        <v>240</v>
      </c>
      <c r="D39" s="106" t="s">
        <v>261</v>
      </c>
      <c r="E39" s="111" t="s">
        <v>276</v>
      </c>
      <c r="F39" s="96">
        <v>1</v>
      </c>
      <c r="G39" s="106" t="s">
        <v>189</v>
      </c>
      <c r="H39" s="108">
        <v>2161927.37</v>
      </c>
      <c r="I39" s="108">
        <f t="shared" si="4"/>
        <v>2161927.37</v>
      </c>
    </row>
    <row r="40" spans="1:9" s="87" customFormat="1" ht="75" customHeight="1" outlineLevel="1" x14ac:dyDescent="0.25">
      <c r="A40" s="86"/>
      <c r="B40" s="96">
        <v>13</v>
      </c>
      <c r="C40" s="111" t="s">
        <v>241</v>
      </c>
      <c r="D40" s="106" t="s">
        <v>242</v>
      </c>
      <c r="E40" s="111" t="s">
        <v>257</v>
      </c>
      <c r="F40" s="96">
        <v>1</v>
      </c>
      <c r="G40" s="106" t="s">
        <v>189</v>
      </c>
      <c r="H40" s="110">
        <v>358473.21</v>
      </c>
      <c r="I40" s="108">
        <f t="shared" si="4"/>
        <v>358473.21</v>
      </c>
    </row>
    <row r="41" spans="1:9" s="87" customFormat="1" ht="97.5" customHeight="1" outlineLevel="1" x14ac:dyDescent="0.25">
      <c r="A41" s="86"/>
      <c r="B41" s="96">
        <v>14</v>
      </c>
      <c r="C41" s="111" t="s">
        <v>280</v>
      </c>
      <c r="D41" s="106" t="s">
        <v>260</v>
      </c>
      <c r="E41" s="111" t="s">
        <v>281</v>
      </c>
      <c r="F41" s="96">
        <v>1</v>
      </c>
      <c r="G41" s="106" t="s">
        <v>189</v>
      </c>
      <c r="H41" s="110" t="s">
        <v>282</v>
      </c>
      <c r="I41" s="108">
        <v>640000</v>
      </c>
    </row>
    <row r="42" spans="1:9" s="87" customFormat="1" ht="97.5" customHeight="1" outlineLevel="1" x14ac:dyDescent="0.25">
      <c r="A42" s="86"/>
      <c r="B42" s="96">
        <v>15</v>
      </c>
      <c r="C42" s="106" t="s">
        <v>287</v>
      </c>
      <c r="D42" s="106" t="s">
        <v>260</v>
      </c>
      <c r="E42" s="111" t="s">
        <v>272</v>
      </c>
      <c r="F42" s="96">
        <v>1</v>
      </c>
      <c r="G42" s="106" t="s">
        <v>189</v>
      </c>
      <c r="H42" s="110">
        <v>220259.20000000001</v>
      </c>
      <c r="I42" s="108">
        <v>220259.20000000001</v>
      </c>
    </row>
    <row r="43" spans="1:9" s="87" customFormat="1" ht="97.5" customHeight="1" outlineLevel="1" x14ac:dyDescent="0.25">
      <c r="A43" s="86"/>
      <c r="B43" s="96">
        <v>16</v>
      </c>
      <c r="C43" s="111" t="s">
        <v>286</v>
      </c>
      <c r="D43" s="106" t="s">
        <v>260</v>
      </c>
      <c r="E43" s="111" t="s">
        <v>288</v>
      </c>
      <c r="F43" s="96">
        <v>1</v>
      </c>
      <c r="G43" s="106" t="s">
        <v>189</v>
      </c>
      <c r="H43" s="110">
        <v>51200</v>
      </c>
      <c r="I43" s="108">
        <v>51200</v>
      </c>
    </row>
    <row r="44" spans="1:9" s="32" customFormat="1" x14ac:dyDescent="0.25">
      <c r="A44" s="28"/>
      <c r="B44" s="129" t="s">
        <v>207</v>
      </c>
      <c r="C44" s="129"/>
      <c r="D44" s="112" t="s">
        <v>183</v>
      </c>
      <c r="E44" s="60" t="s">
        <v>183</v>
      </c>
      <c r="F44" s="30" t="s">
        <v>183</v>
      </c>
      <c r="G44" s="112"/>
      <c r="H44" s="31" t="s">
        <v>183</v>
      </c>
      <c r="I44" s="31">
        <f>SUM(I28:I43)</f>
        <v>16944768.579999998</v>
      </c>
    </row>
    <row r="45" spans="1:9" s="32" customFormat="1" x14ac:dyDescent="0.25">
      <c r="A45" s="28"/>
      <c r="B45" s="129" t="s">
        <v>208</v>
      </c>
      <c r="C45" s="129"/>
      <c r="D45" s="112" t="s">
        <v>183</v>
      </c>
      <c r="E45" s="60" t="s">
        <v>183</v>
      </c>
      <c r="F45" s="30" t="s">
        <v>183</v>
      </c>
      <c r="G45" s="112"/>
      <c r="H45" s="31" t="s">
        <v>183</v>
      </c>
      <c r="I45" s="75">
        <f>I23+I26+I44</f>
        <v>17208409.508571427</v>
      </c>
    </row>
    <row r="46" spans="1:9" s="32" customFormat="1" x14ac:dyDescent="0.25">
      <c r="A46" s="28"/>
      <c r="B46" s="39"/>
      <c r="C46" s="40"/>
      <c r="D46" s="40"/>
      <c r="E46" s="64"/>
      <c r="F46" s="39"/>
      <c r="G46" s="40"/>
      <c r="H46" s="82"/>
      <c r="I46" s="76"/>
    </row>
    <row r="47" spans="1:9" x14ac:dyDescent="0.25">
      <c r="B47" s="66" t="s">
        <v>209</v>
      </c>
    </row>
    <row r="48" spans="1:9" ht="36.75" customHeight="1" x14ac:dyDescent="0.25">
      <c r="B48" s="126" t="s">
        <v>271</v>
      </c>
      <c r="C48" s="126"/>
      <c r="D48" s="126"/>
      <c r="E48" s="126"/>
      <c r="F48" s="126"/>
      <c r="G48" s="126"/>
      <c r="H48" s="126"/>
      <c r="I48" s="126"/>
    </row>
    <row r="49" spans="1:9" ht="3.75" customHeight="1" x14ac:dyDescent="0.25">
      <c r="B49" s="126"/>
      <c r="C49" s="126"/>
      <c r="D49" s="126"/>
      <c r="E49" s="126"/>
      <c r="F49" s="126"/>
      <c r="G49" s="126"/>
      <c r="H49" s="126"/>
      <c r="I49" s="126"/>
    </row>
    <row r="50" spans="1:9" ht="3.75" customHeight="1" x14ac:dyDescent="0.25">
      <c r="B50" s="42"/>
      <c r="C50" s="43"/>
      <c r="D50" s="43"/>
      <c r="E50" s="65"/>
      <c r="F50" s="42"/>
      <c r="G50" s="43"/>
      <c r="H50" s="77"/>
      <c r="I50" s="77"/>
    </row>
    <row r="52" spans="1:9" s="44" customFormat="1" x14ac:dyDescent="0.25">
      <c r="B52" s="121" t="s">
        <v>284</v>
      </c>
      <c r="C52" s="121"/>
      <c r="D52" s="121"/>
      <c r="E52" s="121"/>
      <c r="F52" s="121"/>
      <c r="G52" s="121"/>
      <c r="H52" s="121"/>
      <c r="I52" s="71"/>
    </row>
    <row r="53" spans="1:9" ht="35.25" customHeight="1" x14ac:dyDescent="0.25"/>
    <row r="54" spans="1:9" x14ac:dyDescent="0.25">
      <c r="A54" s="7"/>
      <c r="B54" s="121" t="s">
        <v>283</v>
      </c>
      <c r="C54" s="121"/>
      <c r="D54" s="121"/>
      <c r="E54" s="121"/>
      <c r="F54" s="121"/>
      <c r="G54" s="121"/>
      <c r="H54" s="121"/>
    </row>
    <row r="55" spans="1:9" x14ac:dyDescent="0.25">
      <c r="I55" s="78"/>
    </row>
  </sheetData>
  <mergeCells count="14">
    <mergeCell ref="B54:H54"/>
    <mergeCell ref="B27:C27"/>
    <mergeCell ref="B44:C44"/>
    <mergeCell ref="B45:C45"/>
    <mergeCell ref="B48:I48"/>
    <mergeCell ref="B49:I49"/>
    <mergeCell ref="B52:H52"/>
    <mergeCell ref="B26:C26"/>
    <mergeCell ref="B24:C24"/>
    <mergeCell ref="G1:I1"/>
    <mergeCell ref="B2:I2"/>
    <mergeCell ref="B3:I3"/>
    <mergeCell ref="B7:C7"/>
    <mergeCell ref="B23:C23"/>
  </mergeCells>
  <pageMargins left="0.5" right="0.5" top="0.5" bottom="0.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Реестр ТРУ портал август 2015</vt:lpstr>
      <vt:lpstr>Реестр ТРУ ноябрь 2016</vt:lpstr>
      <vt:lpstr>'Реестр ТРУ портал август 2015'!Область_печати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Kadisha Makhambetova</dc:creator>
  <cp:lastModifiedBy>Saida Sagiden</cp:lastModifiedBy>
  <cp:lastPrinted>2016-11-11T06:21:04Z</cp:lastPrinted>
  <dcterms:created xsi:type="dcterms:W3CDTF">2015-05-04T04:47:43Z</dcterms:created>
  <dcterms:modified xsi:type="dcterms:W3CDTF">2016-11-11T06:27:51Z</dcterms:modified>
</cp:coreProperties>
</file>