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rza\Desktop\Реестр закупок (Закуплено)\Корп Фонд\2018\Реестр закупок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Лист1!$7:$247</definedName>
    <definedName name="_xlnm.Print_Area" localSheetId="0">Лист1!$A$1:$J$243</definedName>
  </definedNames>
  <calcPr calcId="152511"/>
</workbook>
</file>

<file path=xl/calcChain.xml><?xml version="1.0" encoding="utf-8"?>
<calcChain xmlns="http://schemas.openxmlformats.org/spreadsheetml/2006/main">
  <c r="H238" i="1" l="1"/>
  <c r="I238" i="1" s="1"/>
  <c r="H237" i="1"/>
  <c r="I237" i="1" s="1"/>
  <c r="H198" i="1" l="1"/>
  <c r="I198" i="1" s="1"/>
  <c r="H199" i="1"/>
  <c r="I199" i="1" s="1"/>
  <c r="H201" i="1" l="1"/>
  <c r="I201" i="1" s="1"/>
  <c r="H202" i="1"/>
  <c r="I202" i="1" s="1"/>
  <c r="G203" i="1"/>
  <c r="H203" i="1" s="1"/>
  <c r="I203" i="1" s="1"/>
  <c r="F204" i="1"/>
  <c r="G204" i="1"/>
  <c r="H204" i="1" l="1"/>
  <c r="I204" i="1" s="1"/>
  <c r="L204" i="1" s="1"/>
  <c r="G235" i="1"/>
  <c r="G234" i="1"/>
  <c r="G233" i="1"/>
  <c r="G231" i="1"/>
  <c r="G232" i="1"/>
  <c r="L171" i="1"/>
  <c r="L201" i="1"/>
  <c r="L202" i="1"/>
  <c r="L203" i="1"/>
  <c r="L217" i="1"/>
  <c r="L218" i="1"/>
  <c r="L238" i="1" l="1"/>
  <c r="H236" i="1"/>
  <c r="I236" i="1" s="1"/>
  <c r="L236" i="1" s="1"/>
  <c r="I235" i="1" l="1"/>
  <c r="I234" i="1"/>
  <c r="I232" i="1"/>
  <c r="I233" i="1"/>
  <c r="G227" i="1"/>
  <c r="G228" i="1"/>
  <c r="G223" i="1"/>
  <c r="H223" i="1" s="1"/>
  <c r="H213" i="1"/>
  <c r="F189" i="1"/>
  <c r="G184" i="1"/>
  <c r="H181" i="1"/>
  <c r="I59" i="1"/>
  <c r="L59" i="1" s="1"/>
  <c r="H200" i="1" l="1"/>
  <c r="H219" i="1"/>
  <c r="I219" i="1" s="1"/>
  <c r="L219" i="1" s="1"/>
  <c r="I200" i="1" l="1"/>
  <c r="L200" i="1" s="1"/>
  <c r="H228" i="1"/>
  <c r="H230" i="1"/>
  <c r="I230" i="1" s="1"/>
  <c r="L230" i="1" s="1"/>
  <c r="H227" i="1"/>
  <c r="I227" i="1" s="1"/>
  <c r="L227" i="1" s="1"/>
  <c r="H229" i="1"/>
  <c r="I229" i="1" s="1"/>
  <c r="L229" i="1" s="1"/>
  <c r="H231" i="1"/>
  <c r="L231" i="1" s="1"/>
  <c r="H232" i="1"/>
  <c r="L232" i="1" s="1"/>
  <c r="H233" i="1"/>
  <c r="L233" i="1" s="1"/>
  <c r="H234" i="1"/>
  <c r="L234" i="1" s="1"/>
  <c r="H235" i="1"/>
  <c r="L235" i="1" s="1"/>
  <c r="H209" i="1"/>
  <c r="I209" i="1" s="1"/>
  <c r="L209" i="1" s="1"/>
  <c r="H205" i="1"/>
  <c r="H206" i="1"/>
  <c r="I206" i="1" s="1"/>
  <c r="L206" i="1" s="1"/>
  <c r="H207" i="1"/>
  <c r="I207" i="1" s="1"/>
  <c r="L207" i="1" s="1"/>
  <c r="H208" i="1"/>
  <c r="I208" i="1" s="1"/>
  <c r="L208" i="1" s="1"/>
  <c r="H210" i="1"/>
  <c r="I210" i="1" s="1"/>
  <c r="L210" i="1" s="1"/>
  <c r="H211" i="1"/>
  <c r="I211" i="1" s="1"/>
  <c r="L211" i="1" s="1"/>
  <c r="H212" i="1"/>
  <c r="I212" i="1" s="1"/>
  <c r="L212" i="1" s="1"/>
  <c r="I213" i="1"/>
  <c r="L213" i="1" s="1"/>
  <c r="H214" i="1"/>
  <c r="I214" i="1" s="1"/>
  <c r="L214" i="1" s="1"/>
  <c r="H224" i="1"/>
  <c r="I223" i="1"/>
  <c r="L223" i="1" s="1"/>
  <c r="H222" i="1"/>
  <c r="I222" i="1" s="1"/>
  <c r="L222" i="1" s="1"/>
  <c r="H221" i="1"/>
  <c r="I221" i="1" s="1"/>
  <c r="L221" i="1" s="1"/>
  <c r="H220" i="1"/>
  <c r="I220" i="1" s="1"/>
  <c r="L220" i="1" s="1"/>
  <c r="I205" i="1" l="1"/>
  <c r="L205" i="1" s="1"/>
  <c r="I224" i="1"/>
  <c r="L224" i="1" s="1"/>
  <c r="I228" i="1"/>
  <c r="L228" i="1" s="1"/>
  <c r="G172" i="1"/>
  <c r="G197" i="1"/>
  <c r="H197" i="1" s="1"/>
  <c r="I197" i="1" s="1"/>
  <c r="L197" i="1" s="1"/>
  <c r="G196" i="1"/>
  <c r="H196" i="1" s="1"/>
  <c r="G195" i="1"/>
  <c r="H195" i="1" s="1"/>
  <c r="I195" i="1" s="1"/>
  <c r="L195" i="1" s="1"/>
  <c r="G194" i="1"/>
  <c r="H194" i="1" s="1"/>
  <c r="I194" i="1" s="1"/>
  <c r="L194" i="1" s="1"/>
  <c r="G193" i="1"/>
  <c r="H193" i="1" s="1"/>
  <c r="I193" i="1" s="1"/>
  <c r="L193" i="1" s="1"/>
  <c r="G192" i="1"/>
  <c r="H192" i="1" s="1"/>
  <c r="I192" i="1" s="1"/>
  <c r="L192" i="1" s="1"/>
  <c r="I196" i="1" l="1"/>
  <c r="L196" i="1" s="1"/>
  <c r="H183" i="1"/>
  <c r="I183" i="1" s="1"/>
  <c r="L183" i="1" s="1"/>
  <c r="G191" i="1"/>
  <c r="G190" i="1"/>
  <c r="H189" i="1"/>
  <c r="I189" i="1" s="1"/>
  <c r="L189" i="1" s="1"/>
  <c r="G188" i="1"/>
  <c r="H188" i="1" s="1"/>
  <c r="I188" i="1" s="1"/>
  <c r="L188" i="1" s="1"/>
  <c r="G187" i="1"/>
  <c r="F187" i="1"/>
  <c r="G186" i="1"/>
  <c r="H186" i="1" s="1"/>
  <c r="I186" i="1" s="1"/>
  <c r="L186" i="1" s="1"/>
  <c r="G185" i="1"/>
  <c r="H185" i="1" s="1"/>
  <c r="I185" i="1" s="1"/>
  <c r="L185" i="1" s="1"/>
  <c r="H184" i="1"/>
  <c r="I184" i="1" s="1"/>
  <c r="L184" i="1" s="1"/>
  <c r="G226" i="1"/>
  <c r="G225" i="1"/>
  <c r="I181" i="1"/>
  <c r="L181" i="1" s="1"/>
  <c r="H182" i="1"/>
  <c r="G180" i="1"/>
  <c r="H180" i="1" s="1"/>
  <c r="I180" i="1" s="1"/>
  <c r="L180" i="1" s="1"/>
  <c r="G179" i="1"/>
  <c r="H179" i="1" s="1"/>
  <c r="I179" i="1" s="1"/>
  <c r="L179" i="1" s="1"/>
  <c r="G178" i="1"/>
  <c r="H178" i="1" s="1"/>
  <c r="I178" i="1" s="1"/>
  <c r="L178" i="1" s="1"/>
  <c r="G177" i="1"/>
  <c r="H177" i="1" s="1"/>
  <c r="I177" i="1" s="1"/>
  <c r="L177" i="1" s="1"/>
  <c r="G176" i="1"/>
  <c r="H176" i="1" s="1"/>
  <c r="I176" i="1" s="1"/>
  <c r="L176" i="1" s="1"/>
  <c r="H175" i="1"/>
  <c r="I175" i="1" s="1"/>
  <c r="L175" i="1" s="1"/>
  <c r="G174" i="1"/>
  <c r="F174" i="1"/>
  <c r="G173" i="1"/>
  <c r="H173" i="1" s="1"/>
  <c r="H172" i="1"/>
  <c r="H156" i="1"/>
  <c r="I156" i="1" s="1"/>
  <c r="L156" i="1" s="1"/>
  <c r="H157" i="1"/>
  <c r="I157" i="1" s="1"/>
  <c r="L157" i="1" s="1"/>
  <c r="H159" i="1"/>
  <c r="I159" i="1" s="1"/>
  <c r="L159" i="1" s="1"/>
  <c r="H160" i="1"/>
  <c r="I160" i="1" s="1"/>
  <c r="L160" i="1" s="1"/>
  <c r="H161" i="1"/>
  <c r="I161" i="1" s="1"/>
  <c r="L161" i="1" s="1"/>
  <c r="H162" i="1"/>
  <c r="I162" i="1" s="1"/>
  <c r="L162" i="1" s="1"/>
  <c r="H163" i="1"/>
  <c r="I163" i="1" s="1"/>
  <c r="L163" i="1" s="1"/>
  <c r="H164" i="1"/>
  <c r="I164" i="1" s="1"/>
  <c r="L164" i="1" s="1"/>
  <c r="H165" i="1"/>
  <c r="I165" i="1" s="1"/>
  <c r="L165" i="1" s="1"/>
  <c r="H166" i="1"/>
  <c r="I166" i="1" s="1"/>
  <c r="L166" i="1" s="1"/>
  <c r="H167" i="1"/>
  <c r="I167" i="1" s="1"/>
  <c r="L167" i="1" s="1"/>
  <c r="H168" i="1"/>
  <c r="I168" i="1" s="1"/>
  <c r="L168" i="1" s="1"/>
  <c r="G169" i="1"/>
  <c r="H169" i="1" s="1"/>
  <c r="I169" i="1" s="1"/>
  <c r="L169" i="1" s="1"/>
  <c r="F158" i="1"/>
  <c r="H158" i="1" s="1"/>
  <c r="I158" i="1" s="1"/>
  <c r="L158" i="1" s="1"/>
  <c r="G113" i="1"/>
  <c r="H113" i="1" s="1"/>
  <c r="I113" i="1" s="1"/>
  <c r="L113" i="1" s="1"/>
  <c r="G112" i="1"/>
  <c r="H112" i="1" s="1"/>
  <c r="I112" i="1" s="1"/>
  <c r="L112" i="1" s="1"/>
  <c r="G111" i="1"/>
  <c r="H111" i="1" s="1"/>
  <c r="I111" i="1" s="1"/>
  <c r="L111" i="1" s="1"/>
  <c r="G110" i="1"/>
  <c r="H110" i="1" s="1"/>
  <c r="I110" i="1" s="1"/>
  <c r="L110" i="1" s="1"/>
  <c r="G109" i="1"/>
  <c r="F109" i="1"/>
  <c r="G108" i="1"/>
  <c r="H108" i="1" s="1"/>
  <c r="I108" i="1" s="1"/>
  <c r="L108" i="1" s="1"/>
  <c r="G107" i="1"/>
  <c r="H107" i="1" s="1"/>
  <c r="I107" i="1" s="1"/>
  <c r="L107" i="1" s="1"/>
  <c r="G106" i="1"/>
  <c r="H106" i="1" s="1"/>
  <c r="I106" i="1" s="1"/>
  <c r="L106" i="1" s="1"/>
  <c r="G105" i="1"/>
  <c r="H105" i="1" s="1"/>
  <c r="I105" i="1" s="1"/>
  <c r="L105" i="1" s="1"/>
  <c r="G104" i="1"/>
  <c r="F104" i="1"/>
  <c r="G103" i="1"/>
  <c r="H103" i="1" s="1"/>
  <c r="I103" i="1" s="1"/>
  <c r="L103" i="1" s="1"/>
  <c r="G102" i="1"/>
  <c r="H102" i="1" s="1"/>
  <c r="I102" i="1" s="1"/>
  <c r="L102" i="1" s="1"/>
  <c r="G101" i="1"/>
  <c r="H101" i="1" s="1"/>
  <c r="I101" i="1" s="1"/>
  <c r="L101" i="1" s="1"/>
  <c r="G100" i="1"/>
  <c r="H100" i="1" s="1"/>
  <c r="I100" i="1" s="1"/>
  <c r="L100" i="1" s="1"/>
  <c r="G99" i="1"/>
  <c r="F99" i="1"/>
  <c r="G98" i="1"/>
  <c r="H98" i="1" s="1"/>
  <c r="I98" i="1" s="1"/>
  <c r="L98" i="1" s="1"/>
  <c r="G97" i="1"/>
  <c r="H97" i="1" s="1"/>
  <c r="I97" i="1" s="1"/>
  <c r="L97" i="1" s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H90" i="1" s="1"/>
  <c r="I90" i="1" s="1"/>
  <c r="L90" i="1" s="1"/>
  <c r="G89" i="1"/>
  <c r="H89" i="1" s="1"/>
  <c r="I89" i="1" s="1"/>
  <c r="L89" i="1" s="1"/>
  <c r="G88" i="1"/>
  <c r="F88" i="1"/>
  <c r="G87" i="1"/>
  <c r="F87" i="1"/>
  <c r="G86" i="1"/>
  <c r="H86" i="1" s="1"/>
  <c r="I86" i="1" s="1"/>
  <c r="L86" i="1" s="1"/>
  <c r="G85" i="1"/>
  <c r="H85" i="1" s="1"/>
  <c r="I85" i="1" s="1"/>
  <c r="L85" i="1" s="1"/>
  <c r="G84" i="1"/>
  <c r="H84" i="1" s="1"/>
  <c r="I84" i="1" s="1"/>
  <c r="L84" i="1" s="1"/>
  <c r="G83" i="1"/>
  <c r="H83" i="1" s="1"/>
  <c r="I83" i="1" s="1"/>
  <c r="L83" i="1" s="1"/>
  <c r="G82" i="1"/>
  <c r="H82" i="1" s="1"/>
  <c r="I82" i="1" s="1"/>
  <c r="L82" i="1" s="1"/>
  <c r="G81" i="1"/>
  <c r="H81" i="1" s="1"/>
  <c r="I81" i="1" s="1"/>
  <c r="L81" i="1" s="1"/>
  <c r="G80" i="1"/>
  <c r="H80" i="1" s="1"/>
  <c r="I80" i="1" s="1"/>
  <c r="L80" i="1" s="1"/>
  <c r="G79" i="1"/>
  <c r="H79" i="1" s="1"/>
  <c r="I79" i="1" s="1"/>
  <c r="L79" i="1" s="1"/>
  <c r="G78" i="1"/>
  <c r="H78" i="1" s="1"/>
  <c r="I78" i="1" s="1"/>
  <c r="L78" i="1" s="1"/>
  <c r="G77" i="1"/>
  <c r="H77" i="1" s="1"/>
  <c r="I77" i="1" s="1"/>
  <c r="L77" i="1" s="1"/>
  <c r="G76" i="1"/>
  <c r="H76" i="1" s="1"/>
  <c r="I76" i="1" s="1"/>
  <c r="L76" i="1" s="1"/>
  <c r="G75" i="1"/>
  <c r="H75" i="1" s="1"/>
  <c r="I75" i="1" s="1"/>
  <c r="L75" i="1" s="1"/>
  <c r="G74" i="1"/>
  <c r="H74" i="1" s="1"/>
  <c r="I74" i="1" s="1"/>
  <c r="L74" i="1" s="1"/>
  <c r="G73" i="1"/>
  <c r="H73" i="1" s="1"/>
  <c r="I73" i="1" s="1"/>
  <c r="L73" i="1" s="1"/>
  <c r="G72" i="1"/>
  <c r="H72" i="1" s="1"/>
  <c r="I72" i="1" s="1"/>
  <c r="L72" i="1" s="1"/>
  <c r="G71" i="1"/>
  <c r="H71" i="1" s="1"/>
  <c r="I71" i="1" s="1"/>
  <c r="L71" i="1" s="1"/>
  <c r="G70" i="1"/>
  <c r="H70" i="1" s="1"/>
  <c r="I70" i="1" s="1"/>
  <c r="L70" i="1" s="1"/>
  <c r="G69" i="1"/>
  <c r="H69" i="1" s="1"/>
  <c r="I69" i="1" s="1"/>
  <c r="L69" i="1" s="1"/>
  <c r="G68" i="1"/>
  <c r="H68" i="1" s="1"/>
  <c r="I68" i="1" s="1"/>
  <c r="L68" i="1" s="1"/>
  <c r="G67" i="1"/>
  <c r="H67" i="1" s="1"/>
  <c r="I67" i="1" s="1"/>
  <c r="L67" i="1" s="1"/>
  <c r="G66" i="1"/>
  <c r="H66" i="1" s="1"/>
  <c r="I66" i="1" s="1"/>
  <c r="L66" i="1" s="1"/>
  <c r="G65" i="1"/>
  <c r="H65" i="1" s="1"/>
  <c r="I65" i="1" s="1"/>
  <c r="L65" i="1" s="1"/>
  <c r="G64" i="1"/>
  <c r="H64" i="1" s="1"/>
  <c r="I64" i="1" s="1"/>
  <c r="L64" i="1" s="1"/>
  <c r="G63" i="1"/>
  <c r="H63" i="1" s="1"/>
  <c r="I63" i="1" s="1"/>
  <c r="L63" i="1" s="1"/>
  <c r="G62" i="1"/>
  <c r="H62" i="1" s="1"/>
  <c r="I62" i="1" s="1"/>
  <c r="L62" i="1" s="1"/>
  <c r="G61" i="1"/>
  <c r="H61" i="1" s="1"/>
  <c r="I61" i="1" s="1"/>
  <c r="L61" i="1" s="1"/>
  <c r="G60" i="1"/>
  <c r="H60" i="1" s="1"/>
  <c r="I60" i="1" s="1"/>
  <c r="L60" i="1" s="1"/>
  <c r="G59" i="1"/>
  <c r="F59" i="1" s="1"/>
  <c r="G58" i="1"/>
  <c r="H58" i="1" s="1"/>
  <c r="I58" i="1" s="1"/>
  <c r="L58" i="1" s="1"/>
  <c r="G57" i="1"/>
  <c r="H57" i="1" s="1"/>
  <c r="I57" i="1" s="1"/>
  <c r="L57" i="1" s="1"/>
  <c r="G56" i="1"/>
  <c r="H56" i="1" s="1"/>
  <c r="I56" i="1" s="1"/>
  <c r="L56" i="1" s="1"/>
  <c r="G55" i="1"/>
  <c r="H55" i="1" s="1"/>
  <c r="I55" i="1" s="1"/>
  <c r="L55" i="1" s="1"/>
  <c r="G54" i="1"/>
  <c r="H54" i="1" s="1"/>
  <c r="I54" i="1" s="1"/>
  <c r="L54" i="1" s="1"/>
  <c r="G53" i="1"/>
  <c r="H53" i="1" s="1"/>
  <c r="I53" i="1" s="1"/>
  <c r="L53" i="1" s="1"/>
  <c r="G52" i="1"/>
  <c r="H52" i="1" s="1"/>
  <c r="I52" i="1" s="1"/>
  <c r="L52" i="1" s="1"/>
  <c r="G51" i="1"/>
  <c r="H51" i="1" s="1"/>
  <c r="I51" i="1" s="1"/>
  <c r="L51" i="1" s="1"/>
  <c r="G50" i="1"/>
  <c r="H50" i="1" s="1"/>
  <c r="I50" i="1" s="1"/>
  <c r="L50" i="1" s="1"/>
  <c r="G49" i="1"/>
  <c r="H49" i="1" s="1"/>
  <c r="I49" i="1" s="1"/>
  <c r="L49" i="1" s="1"/>
  <c r="G48" i="1"/>
  <c r="H48" i="1" s="1"/>
  <c r="I48" i="1" s="1"/>
  <c r="L48" i="1" s="1"/>
  <c r="G47" i="1"/>
  <c r="H47" i="1" s="1"/>
  <c r="I47" i="1" s="1"/>
  <c r="L47" i="1" s="1"/>
  <c r="G46" i="1"/>
  <c r="H46" i="1" s="1"/>
  <c r="I46" i="1" s="1"/>
  <c r="L46" i="1" s="1"/>
  <c r="G45" i="1"/>
  <c r="H45" i="1" s="1"/>
  <c r="I45" i="1" s="1"/>
  <c r="L45" i="1" s="1"/>
  <c r="G44" i="1"/>
  <c r="F44" i="1"/>
  <c r="G43" i="1"/>
  <c r="H43" i="1" s="1"/>
  <c r="I43" i="1" s="1"/>
  <c r="L43" i="1" s="1"/>
  <c r="G42" i="1"/>
  <c r="H42" i="1" s="1"/>
  <c r="I42" i="1" s="1"/>
  <c r="L42" i="1" s="1"/>
  <c r="G41" i="1"/>
  <c r="H41" i="1" s="1"/>
  <c r="I41" i="1" s="1"/>
  <c r="L41" i="1" s="1"/>
  <c r="G40" i="1"/>
  <c r="H40" i="1" s="1"/>
  <c r="I40" i="1" s="1"/>
  <c r="L40" i="1" s="1"/>
  <c r="G39" i="1"/>
  <c r="H39" i="1" s="1"/>
  <c r="I39" i="1" s="1"/>
  <c r="L39" i="1" s="1"/>
  <c r="G38" i="1"/>
  <c r="H38" i="1" s="1"/>
  <c r="I38" i="1" s="1"/>
  <c r="L38" i="1" s="1"/>
  <c r="G37" i="1"/>
  <c r="H37" i="1" s="1"/>
  <c r="I37" i="1" s="1"/>
  <c r="L37" i="1" s="1"/>
  <c r="G36" i="1"/>
  <c r="H36" i="1" s="1"/>
  <c r="I36" i="1" s="1"/>
  <c r="L36" i="1" s="1"/>
  <c r="G35" i="1"/>
  <c r="H35" i="1" s="1"/>
  <c r="I35" i="1" s="1"/>
  <c r="L35" i="1" s="1"/>
  <c r="G34" i="1"/>
  <c r="H34" i="1" s="1"/>
  <c r="I34" i="1" s="1"/>
  <c r="L34" i="1" s="1"/>
  <c r="G33" i="1"/>
  <c r="H33" i="1" s="1"/>
  <c r="I33" i="1" s="1"/>
  <c r="L33" i="1" s="1"/>
  <c r="G32" i="1"/>
  <c r="H32" i="1" s="1"/>
  <c r="I32" i="1" s="1"/>
  <c r="L32" i="1" s="1"/>
  <c r="G31" i="1"/>
  <c r="H31" i="1" s="1"/>
  <c r="I31" i="1" s="1"/>
  <c r="L31" i="1" s="1"/>
  <c r="G30" i="1"/>
  <c r="F30" i="1"/>
  <c r="G29" i="1"/>
  <c r="H29" i="1" s="1"/>
  <c r="I29" i="1" s="1"/>
  <c r="L29" i="1" s="1"/>
  <c r="G28" i="1"/>
  <c r="H28" i="1" s="1"/>
  <c r="I28" i="1" s="1"/>
  <c r="L28" i="1" s="1"/>
  <c r="G27" i="1"/>
  <c r="H27" i="1" s="1"/>
  <c r="I27" i="1" s="1"/>
  <c r="L27" i="1" s="1"/>
  <c r="G26" i="1"/>
  <c r="H26" i="1" s="1"/>
  <c r="I26" i="1" s="1"/>
  <c r="L26" i="1" s="1"/>
  <c r="G25" i="1"/>
  <c r="H25" i="1" s="1"/>
  <c r="I25" i="1" s="1"/>
  <c r="L25" i="1" s="1"/>
  <c r="G24" i="1"/>
  <c r="H24" i="1" s="1"/>
  <c r="I24" i="1" s="1"/>
  <c r="L24" i="1" s="1"/>
  <c r="G23" i="1"/>
  <c r="H23" i="1" s="1"/>
  <c r="I23" i="1" s="1"/>
  <c r="L23" i="1" s="1"/>
  <c r="G22" i="1"/>
  <c r="H22" i="1" s="1"/>
  <c r="I22" i="1" s="1"/>
  <c r="L22" i="1" s="1"/>
  <c r="G21" i="1"/>
  <c r="F21" i="1"/>
  <c r="G20" i="1"/>
  <c r="H20" i="1" s="1"/>
  <c r="I20" i="1" s="1"/>
  <c r="L20" i="1" s="1"/>
  <c r="G19" i="1"/>
  <c r="H19" i="1" s="1"/>
  <c r="I19" i="1" s="1"/>
  <c r="L19" i="1" s="1"/>
  <c r="G18" i="1"/>
  <c r="H18" i="1" s="1"/>
  <c r="I18" i="1" s="1"/>
  <c r="L18" i="1" s="1"/>
  <c r="G17" i="1"/>
  <c r="H17" i="1" s="1"/>
  <c r="I17" i="1" s="1"/>
  <c r="L17" i="1" s="1"/>
  <c r="G16" i="1"/>
  <c r="H16" i="1" s="1"/>
  <c r="I16" i="1" s="1"/>
  <c r="L16" i="1" s="1"/>
  <c r="G15" i="1"/>
  <c r="H15" i="1" s="1"/>
  <c r="I15" i="1" s="1"/>
  <c r="L15" i="1" s="1"/>
  <c r="G14" i="1"/>
  <c r="G13" i="1"/>
  <c r="H13" i="1" s="1"/>
  <c r="I13" i="1" s="1"/>
  <c r="L13" i="1" s="1"/>
  <c r="G12" i="1"/>
  <c r="H12" i="1" s="1"/>
  <c r="I12" i="1" s="1"/>
  <c r="L12" i="1" s="1"/>
  <c r="G11" i="1"/>
  <c r="H11" i="1" s="1"/>
  <c r="I11" i="1" s="1"/>
  <c r="L11" i="1" s="1"/>
  <c r="G114" i="1"/>
  <c r="H114" i="1" s="1"/>
  <c r="I114" i="1" s="1"/>
  <c r="L114" i="1" s="1"/>
  <c r="G155" i="1"/>
  <c r="H155" i="1" s="1"/>
  <c r="I155" i="1" s="1"/>
  <c r="L155" i="1" s="1"/>
  <c r="G154" i="1"/>
  <c r="H154" i="1" s="1"/>
  <c r="I154" i="1" s="1"/>
  <c r="L154" i="1" s="1"/>
  <c r="G153" i="1"/>
  <c r="H153" i="1" s="1"/>
  <c r="I153" i="1" s="1"/>
  <c r="L153" i="1" s="1"/>
  <c r="G152" i="1"/>
  <c r="H152" i="1" s="1"/>
  <c r="I152" i="1" s="1"/>
  <c r="L152" i="1" s="1"/>
  <c r="G151" i="1"/>
  <c r="G150" i="1"/>
  <c r="H150" i="1" s="1"/>
  <c r="I150" i="1" s="1"/>
  <c r="L150" i="1" s="1"/>
  <c r="G149" i="1"/>
  <c r="H149" i="1" s="1"/>
  <c r="I149" i="1" s="1"/>
  <c r="L149" i="1" s="1"/>
  <c r="G148" i="1"/>
  <c r="H148" i="1" s="1"/>
  <c r="I148" i="1" s="1"/>
  <c r="L148" i="1" s="1"/>
  <c r="G147" i="1"/>
  <c r="H147" i="1" s="1"/>
  <c r="I147" i="1" s="1"/>
  <c r="L147" i="1" s="1"/>
  <c r="G146" i="1"/>
  <c r="H146" i="1" s="1"/>
  <c r="I146" i="1" s="1"/>
  <c r="L146" i="1" s="1"/>
  <c r="G145" i="1"/>
  <c r="H145" i="1" s="1"/>
  <c r="I145" i="1" s="1"/>
  <c r="L145" i="1" s="1"/>
  <c r="G144" i="1"/>
  <c r="H144" i="1" s="1"/>
  <c r="I144" i="1" s="1"/>
  <c r="L144" i="1" s="1"/>
  <c r="G143" i="1"/>
  <c r="H143" i="1" s="1"/>
  <c r="I143" i="1" s="1"/>
  <c r="L143" i="1" s="1"/>
  <c r="G142" i="1"/>
  <c r="H142" i="1" s="1"/>
  <c r="I142" i="1" s="1"/>
  <c r="L142" i="1" s="1"/>
  <c r="G141" i="1"/>
  <c r="H141" i="1" s="1"/>
  <c r="I141" i="1" s="1"/>
  <c r="L141" i="1" s="1"/>
  <c r="G140" i="1"/>
  <c r="H140" i="1" s="1"/>
  <c r="I140" i="1" s="1"/>
  <c r="L140" i="1" s="1"/>
  <c r="G139" i="1"/>
  <c r="H139" i="1" s="1"/>
  <c r="I139" i="1" s="1"/>
  <c r="L139" i="1" s="1"/>
  <c r="G138" i="1"/>
  <c r="H138" i="1" s="1"/>
  <c r="I138" i="1" s="1"/>
  <c r="L138" i="1" s="1"/>
  <c r="G137" i="1"/>
  <c r="H137" i="1" s="1"/>
  <c r="I137" i="1" s="1"/>
  <c r="L137" i="1" s="1"/>
  <c r="G136" i="1"/>
  <c r="G135" i="1"/>
  <c r="H135" i="1" s="1"/>
  <c r="I135" i="1" s="1"/>
  <c r="L135" i="1" s="1"/>
  <c r="G134" i="1"/>
  <c r="H134" i="1" s="1"/>
  <c r="I134" i="1" s="1"/>
  <c r="L134" i="1" s="1"/>
  <c r="G133" i="1"/>
  <c r="G132" i="1"/>
  <c r="H132" i="1" s="1"/>
  <c r="I132" i="1" s="1"/>
  <c r="L132" i="1" s="1"/>
  <c r="G131" i="1"/>
  <c r="H131" i="1" s="1"/>
  <c r="I131" i="1" s="1"/>
  <c r="L131" i="1" s="1"/>
  <c r="G130" i="1"/>
  <c r="H130" i="1" s="1"/>
  <c r="I130" i="1" s="1"/>
  <c r="L130" i="1" s="1"/>
  <c r="G129" i="1"/>
  <c r="H129" i="1" s="1"/>
  <c r="I129" i="1" s="1"/>
  <c r="L129" i="1" s="1"/>
  <c r="G128" i="1"/>
  <c r="H128" i="1" s="1"/>
  <c r="I128" i="1" s="1"/>
  <c r="L128" i="1" s="1"/>
  <c r="G127" i="1"/>
  <c r="H127" i="1" s="1"/>
  <c r="I127" i="1" s="1"/>
  <c r="L127" i="1" s="1"/>
  <c r="G126" i="1"/>
  <c r="H126" i="1" s="1"/>
  <c r="I126" i="1" s="1"/>
  <c r="L126" i="1" s="1"/>
  <c r="G125" i="1"/>
  <c r="H125" i="1" s="1"/>
  <c r="I125" i="1" s="1"/>
  <c r="L125" i="1" s="1"/>
  <c r="G124" i="1"/>
  <c r="H124" i="1" s="1"/>
  <c r="I124" i="1" s="1"/>
  <c r="L124" i="1" s="1"/>
  <c r="G123" i="1"/>
  <c r="H123" i="1" s="1"/>
  <c r="I123" i="1" s="1"/>
  <c r="L123" i="1" s="1"/>
  <c r="G122" i="1"/>
  <c r="H122" i="1" s="1"/>
  <c r="I122" i="1" s="1"/>
  <c r="L122" i="1" s="1"/>
  <c r="G121" i="1"/>
  <c r="H121" i="1" s="1"/>
  <c r="I121" i="1" s="1"/>
  <c r="L121" i="1" s="1"/>
  <c r="G120" i="1"/>
  <c r="H120" i="1" s="1"/>
  <c r="I120" i="1" s="1"/>
  <c r="L120" i="1" s="1"/>
  <c r="G119" i="1"/>
  <c r="H119" i="1" s="1"/>
  <c r="I119" i="1" s="1"/>
  <c r="L119" i="1" s="1"/>
  <c r="H118" i="1"/>
  <c r="I118" i="1" s="1"/>
  <c r="L118" i="1" s="1"/>
  <c r="G117" i="1"/>
  <c r="H117" i="1" s="1"/>
  <c r="I117" i="1" s="1"/>
  <c r="L117" i="1" s="1"/>
  <c r="G116" i="1"/>
  <c r="H116" i="1" s="1"/>
  <c r="I116" i="1" s="1"/>
  <c r="L116" i="1" s="1"/>
  <c r="G115" i="1"/>
  <c r="H115" i="1" s="1"/>
  <c r="I115" i="1" s="1"/>
  <c r="L115" i="1" s="1"/>
  <c r="H174" i="1" l="1"/>
  <c r="H190" i="1"/>
  <c r="I190" i="1" s="1"/>
  <c r="L190" i="1" s="1"/>
  <c r="H187" i="1"/>
  <c r="I173" i="1"/>
  <c r="L173" i="1" s="1"/>
  <c r="I182" i="1"/>
  <c r="L182" i="1" s="1"/>
  <c r="H191" i="1"/>
  <c r="I172" i="1"/>
  <c r="L172" i="1" s="1"/>
  <c r="H136" i="1"/>
  <c r="I136" i="1" s="1"/>
  <c r="L136" i="1" s="1"/>
  <c r="H14" i="1"/>
  <c r="I14" i="1" s="1"/>
  <c r="L14" i="1" s="1"/>
  <c r="H133" i="1"/>
  <c r="I133" i="1" s="1"/>
  <c r="L133" i="1" s="1"/>
  <c r="H151" i="1"/>
  <c r="I151" i="1" s="1"/>
  <c r="L151" i="1" s="1"/>
  <c r="H225" i="1"/>
  <c r="I225" i="1" s="1"/>
  <c r="L225" i="1" s="1"/>
  <c r="I174" i="1"/>
  <c r="L174" i="1" s="1"/>
  <c r="H226" i="1"/>
  <c r="I226" i="1" s="1"/>
  <c r="L226" i="1" s="1"/>
  <c r="H91" i="1"/>
  <c r="I91" i="1" s="1"/>
  <c r="L91" i="1" s="1"/>
  <c r="H95" i="1"/>
  <c r="I95" i="1" s="1"/>
  <c r="L95" i="1" s="1"/>
  <c r="H88" i="1"/>
  <c r="I88" i="1" s="1"/>
  <c r="L88" i="1" s="1"/>
  <c r="H93" i="1"/>
  <c r="I93" i="1" s="1"/>
  <c r="L93" i="1" s="1"/>
  <c r="H104" i="1"/>
  <c r="I104" i="1" s="1"/>
  <c r="L104" i="1" s="1"/>
  <c r="H109" i="1"/>
  <c r="I109" i="1" s="1"/>
  <c r="L109" i="1" s="1"/>
  <c r="H94" i="1"/>
  <c r="I94" i="1" s="1"/>
  <c r="L94" i="1" s="1"/>
  <c r="H99" i="1"/>
  <c r="I99" i="1" s="1"/>
  <c r="L99" i="1" s="1"/>
  <c r="H87" i="1"/>
  <c r="I87" i="1" s="1"/>
  <c r="L87" i="1" s="1"/>
  <c r="H92" i="1"/>
  <c r="I92" i="1" s="1"/>
  <c r="L92" i="1" s="1"/>
  <c r="H96" i="1"/>
  <c r="I96" i="1" s="1"/>
  <c r="L96" i="1" s="1"/>
  <c r="H21" i="1"/>
  <c r="I21" i="1" s="1"/>
  <c r="L21" i="1" s="1"/>
  <c r="H44" i="1"/>
  <c r="I44" i="1" s="1"/>
  <c r="L44" i="1" s="1"/>
  <c r="H30" i="1"/>
  <c r="I30" i="1" s="1"/>
  <c r="L30" i="1" s="1"/>
  <c r="I187" i="1" l="1"/>
  <c r="L187" i="1" s="1"/>
  <c r="I191" i="1"/>
  <c r="L191" i="1" s="1"/>
  <c r="H239" i="1"/>
  <c r="H215" i="1" l="1"/>
  <c r="H170" i="1" l="1"/>
  <c r="H216" i="1" l="1"/>
  <c r="H240" i="1" s="1"/>
  <c r="I215" i="1"/>
  <c r="L215" i="1" s="1"/>
  <c r="I170" i="1" l="1"/>
  <c r="I216" i="1" l="1"/>
  <c r="L216" i="1" s="1"/>
  <c r="L170" i="1"/>
  <c r="I239" i="1"/>
  <c r="I240" i="1" l="1"/>
</calcChain>
</file>

<file path=xl/comments1.xml><?xml version="1.0" encoding="utf-8"?>
<comments xmlns="http://schemas.openxmlformats.org/spreadsheetml/2006/main">
  <authors>
    <author>Айгуль Турлыбаева</author>
    <author>Турлыбаева Айгуль</author>
    <author>Айгуль</author>
    <author>Aigul T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факт цена 17г  + 7%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прайс + 7%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нужно ли?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нужно ли?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можно перенести на 18 год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можно перенести на 18 год</t>
        </r>
      </text>
    </comment>
    <comment ref="G83" authorId="1" shapeId="0">
      <text>
        <r>
          <rPr>
            <b/>
            <sz val="9"/>
            <color indexed="81"/>
            <rFont val="Tahoma"/>
            <family val="2"/>
            <charset val="204"/>
          </rPr>
          <t>Турлыбаева Айгуль:</t>
        </r>
        <r>
          <rPr>
            <sz val="9"/>
            <color indexed="81"/>
            <rFont val="Tahoma"/>
            <family val="2"/>
            <charset val="204"/>
          </rPr>
          <t xml:space="preserve">
прайс узнать у Мырзы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факт по чеку + 7%
8500 по факту, Мырза должен принести прайс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факт по чеку + 7%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на всякий случай если что-то др нужно будет закупать</t>
        </r>
      </text>
    </comment>
    <comment ref="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на всякий случай если что-то др нужно будет закупать</t>
        </r>
      </text>
    </comment>
    <comment ref="G114" authorId="2" shapeId="0">
      <text>
        <r>
          <rPr>
            <b/>
            <sz val="9"/>
            <color indexed="81"/>
            <rFont val="Tahoma"/>
            <family val="2"/>
            <charset val="204"/>
          </rPr>
          <t>Айгуль:</t>
        </r>
        <r>
          <rPr>
            <sz val="9"/>
            <color indexed="81"/>
            <rFont val="Tahoma"/>
            <family val="2"/>
            <charset val="204"/>
          </rPr>
          <t xml:space="preserve">
из плана закупок Бюджет 2017г. + 7%
(комм предл 2016г + 7% + 7% /1,12)</t>
        </r>
      </text>
    </comment>
    <comment ref="B119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если будут принимать в этом году работников</t>
        </r>
      </text>
    </comment>
    <comment ref="D119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если будут принимать в этом году работников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для шефа</t>
        </r>
      </text>
    </comment>
    <comment ref="D123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для шефа</t>
        </r>
      </text>
    </comment>
    <comment ref="B125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пока не нужно на 18 год</t>
        </r>
      </text>
    </comment>
    <comment ref="D125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пока не нужно на 18 год</t>
        </r>
      </text>
    </comment>
    <comment ref="B126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пока не нужно на 18 год</t>
        </r>
      </text>
    </comment>
    <comment ref="D126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пока не нужно на 18 год</t>
        </r>
      </text>
    </comment>
    <comment ref="B127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резерв на непредвиденные расходы</t>
        </r>
      </text>
    </comment>
    <comment ref="D127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резерв на непредвиденные расходы</t>
        </r>
      </text>
    </comment>
    <comment ref="B128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резерв на непредвиденные расходы</t>
        </r>
      </text>
    </comment>
    <comment ref="D128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резерв на непредвиденные расходы</t>
        </r>
      </text>
    </comment>
    <comment ref="B134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Актоты Маратовне</t>
        </r>
      </text>
    </comment>
    <comment ref="D134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Актоты Маратовне</t>
        </r>
      </text>
    </comment>
    <comment ref="B135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для проекта анализ ОПС</t>
        </r>
      </text>
    </comment>
    <comment ref="D135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для проекта анализ ОПС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А.М. поменяла 
на 16 110 000 тг.
</t>
        </r>
      </text>
    </comment>
    <comment ref="G151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факт 2017 + 7%</t>
        </r>
      </text>
    </comment>
    <comment ref="G152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прайс 2017г плюс 7%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договор 17 г  + 7%  + 20% на всяк случ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факт цена 17г плюс 7%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прайс плюс 7%</t>
        </r>
      </text>
    </comment>
    <comment ref="G190" authorId="0" shapeId="0">
      <text>
        <r>
          <rPr>
            <b/>
            <sz val="9"/>
            <color indexed="81"/>
            <rFont val="Tahoma"/>
            <family val="2"/>
            <charset val="204"/>
          </rPr>
          <t>Айгуль Турлыбаева:</t>
        </r>
        <r>
          <rPr>
            <sz val="9"/>
            <color indexed="81"/>
            <rFont val="Tahoma"/>
            <family val="2"/>
            <charset val="204"/>
          </rPr>
          <t xml:space="preserve">
Мырза д комм предложение</t>
        </r>
      </text>
    </comment>
    <comment ref="G197" authorId="2" shapeId="0">
      <text>
        <r>
          <rPr>
            <b/>
            <sz val="9"/>
            <color indexed="81"/>
            <rFont val="Tahoma"/>
            <family val="2"/>
            <charset val="204"/>
          </rPr>
          <t>Айгуль:</t>
        </r>
        <r>
          <rPr>
            <sz val="9"/>
            <color indexed="81"/>
            <rFont val="Tahoma"/>
            <family val="2"/>
            <charset val="204"/>
          </rPr>
          <t xml:space="preserve">
550 000 Махмутова договор 2017 года + 7%</t>
        </r>
      </text>
    </comment>
    <comment ref="G237" authorId="3" shapeId="0">
      <text>
        <r>
          <rPr>
            <b/>
            <sz val="9"/>
            <color indexed="81"/>
            <rFont val="Tahoma"/>
            <family val="2"/>
            <charset val="204"/>
          </rPr>
          <t>Aigul T:</t>
        </r>
        <r>
          <rPr>
            <sz val="9"/>
            <color indexed="81"/>
            <rFont val="Tahoma"/>
            <family val="2"/>
            <charset val="204"/>
          </rPr>
          <t xml:space="preserve">
может быть нужно разбить на разные суммы на 112 500 000 и оставшуюся </t>
        </r>
      </text>
    </comment>
  </commentList>
</comments>
</file>

<file path=xl/sharedStrings.xml><?xml version="1.0" encoding="utf-8"?>
<sst xmlns="http://schemas.openxmlformats.org/spreadsheetml/2006/main" count="1132" uniqueCount="439">
  <si>
    <t>Сумма планируемая для закупки, тенге (без учета НДС)</t>
  </si>
  <si>
    <t>Сумма планируемая для закупки, тенге (с  учетом НДС)</t>
  </si>
  <si>
    <t>запрос ценовых предложений</t>
  </si>
  <si>
    <t>№       п/п</t>
  </si>
  <si>
    <t>Итого по товарам:</t>
  </si>
  <si>
    <t>Итого по услугам:</t>
  </si>
  <si>
    <t>Итого по разделу 1:</t>
  </si>
  <si>
    <t>Итого по разделу 2:</t>
  </si>
  <si>
    <t>услуга</t>
  </si>
  <si>
    <t>ВСЕГО (раздел 1+ раздел 2)</t>
  </si>
  <si>
    <t>Наименование закупаемых товаров, работ, услуг</t>
  </si>
  <si>
    <t>Краткая характеристика (описание) товаров, работ, услуг</t>
  </si>
  <si>
    <t>Наименование организатора закупок</t>
  </si>
  <si>
    <t>Количество/объем</t>
  </si>
  <si>
    <t>Скоросшиватель</t>
  </si>
  <si>
    <t>Салфетки в коробке</t>
  </si>
  <si>
    <t xml:space="preserve">Способ осуществления закупок/ п. 3.1. Правил </t>
  </si>
  <si>
    <t>Единица измерения</t>
  </si>
  <si>
    <t>Товары</t>
  </si>
  <si>
    <t>Услуги</t>
  </si>
  <si>
    <t>Услуги по сопровождению сайта, с учетом предоставления площадки под хостинг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</si>
  <si>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</si>
  <si>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Индекс стрелка</t>
  </si>
  <si>
    <t>Перчатки резиновые</t>
  </si>
  <si>
    <t>набор</t>
  </si>
  <si>
    <t>Размещение вакансий на сайте Hh.kz</t>
  </si>
  <si>
    <t>Доска магнитно-маркерная в кабинет руководителя, 60*90 см</t>
  </si>
  <si>
    <t>Доска магнитно-маркерная в конференц зал, 150*100 см</t>
  </si>
  <si>
    <t>Бумага офисная А4, 500 л., 80 гр.</t>
  </si>
  <si>
    <t>Бумага офисная цветная А4, 125 листов, 350 гр.</t>
  </si>
  <si>
    <t>Бумага офисная цветная А3, 125 листов, 350 гр.</t>
  </si>
  <si>
    <t>Обложка д/переплета 0,20*297*210 А4/1 л. проз. 200 мкр. 100 листов</t>
  </si>
  <si>
    <t>Пружина пластиковая - 12мм (1шт.)</t>
  </si>
  <si>
    <t>Пружина пластиковая - 16мм (1шт.)</t>
  </si>
  <si>
    <t>Пружина пластиковая - 51мм (1шт.)</t>
  </si>
  <si>
    <t>Бумага для флипчарта в блоках по 10 листов</t>
  </si>
  <si>
    <t>Степлер до 120 л. 23/6, 23/8</t>
  </si>
  <si>
    <t>Лента клейкая (скотч) 48мм</t>
  </si>
  <si>
    <t>Маркер для доски (набор из 4 цветов)</t>
  </si>
  <si>
    <t>Калькулятор - 16раз.</t>
  </si>
  <si>
    <t>Ручка гелевая 0,5мм игольчатый пишущий узел, черная</t>
  </si>
  <si>
    <t xml:space="preserve">Ручка гелевая синий стержень, стирающийся стержень </t>
  </si>
  <si>
    <t>Регистратор для документов (папка)</t>
  </si>
  <si>
    <t xml:space="preserve">Файл прозрачный </t>
  </si>
  <si>
    <t>Ручка шариковая для руководителя</t>
  </si>
  <si>
    <t>Ручка шариковая</t>
  </si>
  <si>
    <t>Стержень для ручки</t>
  </si>
  <si>
    <t>Губка для маркерной доски</t>
  </si>
  <si>
    <t>Органайзер</t>
  </si>
  <si>
    <t>Настольный органайзер (2 предмета)</t>
  </si>
  <si>
    <t>Жидкость для очистки маркерной доски, 200 мл.</t>
  </si>
  <si>
    <t>Распределитель скотча</t>
  </si>
  <si>
    <t>Папка уголок A4</t>
  </si>
  <si>
    <t>Лотки вертикальные</t>
  </si>
  <si>
    <t>Папка планшет А4</t>
  </si>
  <si>
    <t>Корзина для мусора металл.</t>
  </si>
  <si>
    <t>Ручка корректор</t>
  </si>
  <si>
    <t>Пружина пластиковая - 8мм (1шт.)</t>
  </si>
  <si>
    <t>Пружина пластиковая - 10мм (1шт.)</t>
  </si>
  <si>
    <t>Пружина пластиковая - 14мм (1шт.)</t>
  </si>
  <si>
    <t>Ручка шариковая синяя паста</t>
  </si>
  <si>
    <t>Маркер в наборе (4 цвета)</t>
  </si>
  <si>
    <t>Пружина пластиковая - 18мм (1шт.)</t>
  </si>
  <si>
    <t>Пружина пластиковая - 19мм (1шт.)</t>
  </si>
  <si>
    <t>Пружина пластиковая - 45мм (1шт.)</t>
  </si>
  <si>
    <t>Зажим 19 мм</t>
  </si>
  <si>
    <t>шт.</t>
  </si>
  <si>
    <t>флакон</t>
  </si>
  <si>
    <t>уп.</t>
  </si>
  <si>
    <t>Реестр планируемых закупок товаров, работ, услуг на 2018 год</t>
  </si>
  <si>
    <t>Аккумулятор AAA 930mAh/1,2V (набор из 4 шт)</t>
  </si>
  <si>
    <t>Коврик для мышки</t>
  </si>
  <si>
    <t>пачка</t>
  </si>
  <si>
    <t>Бензин АИ-92</t>
  </si>
  <si>
    <t>Автошины 235/60 R18</t>
  </si>
  <si>
    <t>л.</t>
  </si>
  <si>
    <t>Вода питьевая 19 л.</t>
  </si>
  <si>
    <t>Вода питьевая негазированная в бутылях 0,5 литров</t>
  </si>
  <si>
    <t>Стаканы пластиковые одноразовые</t>
  </si>
  <si>
    <t>Кофе в зернах</t>
  </si>
  <si>
    <t>Сироп для кофе</t>
  </si>
  <si>
    <t>Молоко в тетра пакетах</t>
  </si>
  <si>
    <t>Сахар рафинированный в пачках 1 кг</t>
  </si>
  <si>
    <t>Чай черный в упаковке 100 пакетиков</t>
  </si>
  <si>
    <t>Чай зеленый в упаковке 100 пакетиков</t>
  </si>
  <si>
    <t>Моющее средство для мытья посуды 500 мл.</t>
  </si>
  <si>
    <t>Чистящее средство для кухонных поверхностей  500 гр.</t>
  </si>
  <si>
    <t xml:space="preserve">Салфетки бытовые для кухни </t>
  </si>
  <si>
    <t>Конверт 230*330</t>
  </si>
  <si>
    <t>Конверт 110*220</t>
  </si>
  <si>
    <t xml:space="preserve">Губка бытовая </t>
  </si>
  <si>
    <t xml:space="preserve">Чайный сервиз </t>
  </si>
  <si>
    <t>Набор чайных ложек 6 шт.</t>
  </si>
  <si>
    <t>Настольный светильник</t>
  </si>
  <si>
    <t>Салфетки бумажные</t>
  </si>
  <si>
    <t>Чайник</t>
  </si>
  <si>
    <t>Жидкость для очистки кофемашины</t>
  </si>
  <si>
    <t>бут.</t>
  </si>
  <si>
    <t>кор.</t>
  </si>
  <si>
    <t>Архивный железный шкаф</t>
  </si>
  <si>
    <t>Файловый шкаф</t>
  </si>
  <si>
    <t>Обогреватель</t>
  </si>
  <si>
    <t>Диспенсер напольный</t>
  </si>
  <si>
    <t>Шредер 4 уровень секретности</t>
  </si>
  <si>
    <t>Брошюратор</t>
  </si>
  <si>
    <t>Резак</t>
  </si>
  <si>
    <t>Ламинатор</t>
  </si>
  <si>
    <t>пакет</t>
  </si>
  <si>
    <t>Бланк с логотипом компании</t>
  </si>
  <si>
    <t>Визитные карточки с логотипом компании</t>
  </si>
  <si>
    <t>Пакет бумажный с логотипом компании А3</t>
  </si>
  <si>
    <t>Бланк с логотипом компании. Полная техническая характеристика согласно технической спецификации.</t>
  </si>
  <si>
    <t>Визитные карточки с логотипом компании. Полная техническая характеристика согласно технической спецификации.</t>
  </si>
  <si>
    <t>Блокнот А-5 на пружине. Полная техническая характеристика согласно технической спецификации.</t>
  </si>
  <si>
    <t>Ручка с логотипом компании. Полная техническая характеристика согласно технической спецификации.</t>
  </si>
  <si>
    <t>Пакет бумажный с логотипом компании А3. Полная техническая характеристика согласно технической спецификации.</t>
  </si>
  <si>
    <t>Папка с подъемом. Полная техническая характеристика согласно технической спецификации.</t>
  </si>
  <si>
    <t>Цена за единицу товара, тенге (без учета НДС)</t>
  </si>
  <si>
    <t>Абон.плата за доступ к сети Интернет выделенная линия</t>
  </si>
  <si>
    <t>Аренда из 8 - IP блоков</t>
  </si>
  <si>
    <t>Техобслуживание и ремонт автомобиля, в т.ч. диагностика, шиномонтаж</t>
  </si>
  <si>
    <t>Услуги мойки автомобиля</t>
  </si>
  <si>
    <t>Техобслуживание и ремонт автомобиля, в т.ч. диагностика, шиномонтаж. Полная техническая характеристика согласно технической спецификации.</t>
  </si>
  <si>
    <t>Услуги мойки автомобиля. Полная техническая характеристика согласно технической спецификации.</t>
  </si>
  <si>
    <t>Ремонт и чистка диспенсеров для воды</t>
  </si>
  <si>
    <t>Ремонт и чистка кофемашины</t>
  </si>
  <si>
    <t>Ремонт и чистка диспенсеров для воды. Полная техническая характеристика согласно технической спецификации.</t>
  </si>
  <si>
    <t>Ремонт и чистка кофемашины. Полная техническая характеристика согласно технической спецификации.</t>
  </si>
  <si>
    <t>Сопровождение программы 1С:Предприятие 8.2, доработка</t>
  </si>
  <si>
    <t>Сопровождение 1С:Предприятие 8 Зарплата и Управление Персоналом</t>
  </si>
  <si>
    <t>Сопровождение программы 1С:Предприятие 8.2, доработка. Полная техническая характеристика согласно технической спецификации.</t>
  </si>
  <si>
    <t>Сопровождение 1С:Предприятие 8 Зарплата и Управление Персоналом. Полная техническая характеристика согласно технической спецификации.</t>
  </si>
  <si>
    <t>Транспортные расходы (аренда автомобиля без водителя)</t>
  </si>
  <si>
    <t>Транспортные расходы (аренда автомобиля без водителя). Полная техническая характеристика согласно технической спецификации.</t>
  </si>
  <si>
    <t>Услуги по сопровождению сайта, с учетом предоставления площадки под хостинг. Полная техническая характеристика согласно технической спецификации.</t>
  </si>
  <si>
    <t>Услуги подшивки документов, переплета</t>
  </si>
  <si>
    <t>Услуги подшивки документов, переплета. Полная техническая характеристика согласно технической спецификации.</t>
  </si>
  <si>
    <t>Услуги сборки разборки мебели</t>
  </si>
  <si>
    <t>Услуги по развозке работников</t>
  </si>
  <si>
    <t>Услуги сборки разборки мебели. Полная техническая характеристика согласно технической спецификации.</t>
  </si>
  <si>
    <t>Услуги по развозке работников. Полная техническая характеристика согласно технической спецификации.</t>
  </si>
  <si>
    <t>Консультационные услуги по бух.учету и налогообложению</t>
  </si>
  <si>
    <t>Консультационные услуги по бух.учету и налогообложению. Полная техническая характеристика согласно технической спецификации.</t>
  </si>
  <si>
    <t>82949_Психология . Журнал Высшей школы экономики / Psychology. Journal of the Higher School of Economics</t>
  </si>
  <si>
    <t xml:space="preserve">75411_The Economist   </t>
  </si>
  <si>
    <t>35017_Комплект "Бюллетень бухгалтера + труд-зарплата-пенсия в Казахстане"</t>
  </si>
  <si>
    <t>75153_Бухгалтерия организаций - получателей бюджетных средств (приказы, инструкции, комментарии)</t>
  </si>
  <si>
    <t>75342_Нерезиденты: учет, налоги, право</t>
  </si>
  <si>
    <t>Абонентское обслуживание ИС "Параграф"</t>
  </si>
  <si>
    <t>Доступ к порталу+ Учет.kz</t>
  </si>
  <si>
    <t>Расходы по уничтожению, изготовлению печатей и штампов</t>
  </si>
  <si>
    <t>Корпоративный фонд «NAC Analytica»</t>
  </si>
  <si>
    <t xml:space="preserve">сервер, WiFi роутер, наушник для колл-центра, источники бесперебойного питания  </t>
  </si>
  <si>
    <t>Компрессор автомобильный 10 атм.</t>
  </si>
  <si>
    <t>Папка подвесная  А4 для файлового шкафа</t>
  </si>
  <si>
    <t>Флеш-накопитель USB 16 Гб</t>
  </si>
  <si>
    <t>Набор инструментом для автомобиля, 86 шт.</t>
  </si>
  <si>
    <t>Набор ключей рожковых, 10 шт.</t>
  </si>
  <si>
    <t>Рамка для номера</t>
  </si>
  <si>
    <t>Бутыли для воды</t>
  </si>
  <si>
    <t xml:space="preserve">Картины  </t>
  </si>
  <si>
    <t>Механическая помпа для воды</t>
  </si>
  <si>
    <t>Доска магнитно-маркерная в кабинет руководителя, 60*90 см. Полная техническая характеристика согласно технической спецификации.</t>
  </si>
  <si>
    <t>Доска магнитно-маркерная в конференц зал, 150*100 см. Полная техническая характеристика согласно технической спецификации.</t>
  </si>
  <si>
    <t>Бумага офисная А4, 500 л., 80 гр. Полная техническая характеристика согласно технической спецификации.</t>
  </si>
  <si>
    <t>Бумага офисная цветная А4, 125 листов, 350 гр. Полная техническая характеристика согласно технической спецификации.</t>
  </si>
  <si>
    <t>Бумага офисная цветная А3, 125 листов, 350 гр. Полная техническая характеристика согласно технической спецификации.</t>
  </si>
  <si>
    <t>Обложка д/переплета 0,20*297*210 А4/1 л. проз. 200 мкр. 100 листов. Полная техническая характеристика согласно технической спецификации.</t>
  </si>
  <si>
    <t>Пружина пластиковая - 12мм (1шт.). Полная техническая характеристика согласно технической спецификации.</t>
  </si>
  <si>
    <t>Пружина пластиковая - 16мм (1шт.). Полная техническая характеристика согласно технической спецификации.</t>
  </si>
  <si>
    <t>Пружина пластиковая - 51мм (1шт.). Полная техническая характеристика согласно технической спецификации.</t>
  </si>
  <si>
    <t>Бумага для флипчарта в блоках по 10 листов. Полная техническая характеристика согласно технической спецификации.</t>
  </si>
  <si>
    <t>Степлер до 120 л. 23/6, 23/8. Полная техническая характеристика согласно технической спецификации.</t>
  </si>
  <si>
    <t>Лента клейкая (скотч) 48мм. Полная техническая характеристика согласно технической спецификации.</t>
  </si>
  <si>
    <t>Маркер для доски (набор из 4 цветов). Полная техническая характеристика согласно технической спецификации.</t>
  </si>
  <si>
    <t>Калькулятор - 16раз. Полная техническая характеристика согласно технической спецификации.</t>
  </si>
  <si>
    <t>Ручка гелевая 0,5мм игольчатый пишущий узел, черная. Полная техническая характеристика согласно технической спецификации.</t>
  </si>
  <si>
    <t>Ручка гелевая синий стержень, стирающийся стержень. Полная техническая характеристика согласно технической спецификации.</t>
  </si>
  <si>
    <t>Скоросшиватель. Полная техническая характеристика согласно технической спецификации.</t>
  </si>
  <si>
    <t>Индекс стрелка. Полная техническая характеристика согласно технической спецификации.</t>
  </si>
  <si>
    <t>Регистратор для документов (папка). Полная техническая характеристика согласно технической спецификации.</t>
  </si>
  <si>
    <t>Файл прозрачный. Полная техническая характеристика согласно технической спецификации.</t>
  </si>
  <si>
    <t>Ручка шариковая для руководителя. Полная техническая характеристика согласно технической спецификации.</t>
  </si>
  <si>
    <t>Ручка шариковая. Полная техническая характеристика согласно технической спецификации.</t>
  </si>
  <si>
    <t>Стержень для ручки. Полная техническая характеристика согласно технической спецификации.</t>
  </si>
  <si>
    <t>Губка для маркерной доски. Полная техническая характеристика согласно технической спецификации.</t>
  </si>
  <si>
    <t>Органайзер. Полная техническая характеристика согласно технической спецификации.</t>
  </si>
  <si>
    <t>Настольный органайзер (2 предмета). Полная техническая характеристика согласно технической спецификации.</t>
  </si>
  <si>
    <t>Жидкость для очистки маркерной доски, 200 мл. Полная техническая характеристика согласно технической спецификации.</t>
  </si>
  <si>
    <t>Распределитель скотча. Полная техническая характеристика согласно технической спецификации.</t>
  </si>
  <si>
    <t>Папка уголок A4. Полная техническая характеристика согласно технической спецификации.</t>
  </si>
  <si>
    <t>Лотки вертикальные. Полная техническая характеристика согласно технической спецификации.</t>
  </si>
  <si>
    <t>Папка планшет А4. Полная техническая характеристика согласно технической спецификации.</t>
  </si>
  <si>
    <t>Корзина для мусора металл. Полная техническая характеристика согласно технической спецификации.</t>
  </si>
  <si>
    <t>Ручка корректор. М</t>
  </si>
  <si>
    <t>Пружина пластиковая - 8мм (1шт.). Полная техническая характеристика согласно технической спецификации.</t>
  </si>
  <si>
    <t>Пружина пластиковая - 10мм (1шт.). Полная техническая характеристика согласно технической спецификации.</t>
  </si>
  <si>
    <t>Пружина пластиковая - 14мм (1шт.). Полная техническая характеристика согласно технической спецификации.</t>
  </si>
  <si>
    <t>Калькулятор научный Citizen SR-281N. Полная техническая характеристика согласно технической спецификации.</t>
  </si>
  <si>
    <t>Калькулятор научный Citizen SR-270NOR. Полная техническая характеристика согласно технической спецификации.</t>
  </si>
  <si>
    <t>Ручка шариковая синяя паста. Полная техническая характеристика согласно технической спецификации.</t>
  </si>
  <si>
    <t>Маркер в наборе (4 цвета). Полная техническая характеристика согласно технической спецификации.</t>
  </si>
  <si>
    <t>Пружина пластиковая - 18мм (1шт.). Полная техническая характеристика согласно технической спецификации.</t>
  </si>
  <si>
    <t>Пружина пластиковая - 19мм (1шт.). Полная техническая характеристика согласно технической спецификации.</t>
  </si>
  <si>
    <t>Пружина пластиковая - 45мм (1шт.). Полная техническая характеристика согласно технической спецификации.</t>
  </si>
  <si>
    <t>Зажим 19 мм. Полная техническая характеристика согласно технической спецификации.</t>
  </si>
  <si>
    <t>Папка подвесная  А4 для файлового шкафа. Полная техническая характеристика согласно технической спецификации.</t>
  </si>
  <si>
    <t>Аккумулятор AAA 930mAh/1,2V (набор из 4 шт). Полная техническая характеристика согласно технической спецификации.</t>
  </si>
  <si>
    <t>Флеш-накопитель USB 16 Гб. Полная техническая характеристика согласно технической спецификации.</t>
  </si>
  <si>
    <t>Коврик для мышки. Полная техническая характеристика согласно технической спецификации.</t>
  </si>
  <si>
    <t>Бензин АИ-92. Полная техническая характеристика согласно технической спецификации.</t>
  </si>
  <si>
    <t>Автошины 235/60 R18. Полная техническая характеристика согласно технической спецификации.</t>
  </si>
  <si>
    <t>Набор инструментом для автомобиля, 86 шт. Полная техническая характеристика согласно технической спецификации.</t>
  </si>
  <si>
    <t>Набор ключей рожковых, 10 шт. Полная техническая характеристика согласно технической спецификации.</t>
  </si>
  <si>
    <t>Рамка для номера. Полная техническая характеристика согласно технической спецификации.</t>
  </si>
  <si>
    <t>Вода питьевая 19 л. Полная техническая характеристика согласно технической спецификации.</t>
  </si>
  <si>
    <t>Вода питьевая негазированная в бутылях 0,5 литров. Полная техническая характеристика согласно технической спецификации.</t>
  </si>
  <si>
    <t>Бутыли для воды. Полная техническая характеристика согласно технической спецификации.</t>
  </si>
  <si>
    <t>Стаканы пластиковые одноразовые. Полная техническая характеристика согласно технической спецификации.</t>
  </si>
  <si>
    <t>Кофе в зернах. Полная техническая характеристика согласно технической спецификации.</t>
  </si>
  <si>
    <t>Сироп для кофе. Полная техническая характеристика согласно технической спецификации.</t>
  </si>
  <si>
    <t>Молоко в тетра пакетах. Полная техническая характеристика согласно технической спецификации.</t>
  </si>
  <si>
    <t>Сахар рафинированный в пачках 1 кг. Полная техническая характеристика согласно технической спецификации.</t>
  </si>
  <si>
    <t>Чай черный в упаковке 100 пакетиков. Полная техническая характеристика согласно технической спецификации.</t>
  </si>
  <si>
    <t>Чай зеленый в упаковке 100 пакетиков. Полная техническая характеристика согласно технической спецификации.</t>
  </si>
  <si>
    <t>Моющее средство для мытья посуды 500 мл. Полная техническая характеристика согласно технической спецификации.</t>
  </si>
  <si>
    <t>Перчатки резиновые. Полная техническая характеристика согласно технической спецификации.</t>
  </si>
  <si>
    <t>Салфетки в коробке. Полная техническая характеристика согласно технической спецификации.</t>
  </si>
  <si>
    <t>Чистящее средство для кухонных поверхностей  500 гр. Полная техническая характеристика согласно технической спецификации.</t>
  </si>
  <si>
    <t>Салфетки бытовые для кухни. Полная техническая характеристика согласно технической спецификации.</t>
  </si>
  <si>
    <t>Конверт 230*330. Полная техническая характеристика согласно технической спецификации.</t>
  </si>
  <si>
    <t>Конверт 110*220. Полная техническая характеристика согласно технической спецификации.</t>
  </si>
  <si>
    <t>Губка бытовая. Полная техническая характеристика согласно технической спецификации.</t>
  </si>
  <si>
    <t>Чайный сервиз. Полная техническая характеристика согласно технической спецификации.</t>
  </si>
  <si>
    <t>Набор чайных ложек 6 шт. Полная техническая характеристика согласно технической спецификации.</t>
  </si>
  <si>
    <t>Картины. Полная техническая характеристика согласно технической спецификации.</t>
  </si>
  <si>
    <t>Настольный светильник. Полная техническая характеристика согласно технической спецификации.</t>
  </si>
  <si>
    <t>Салфетки бумажные. Полная техническая характеристика согласно технической спецификации.</t>
  </si>
  <si>
    <t>Чайник. Полная техническая характеристика согласно технической спецификации.</t>
  </si>
  <si>
    <t>Жидкость для очистки кофемашины. Полная техническая характеристика согласно технической спецификации.</t>
  </si>
  <si>
    <t>Механическая помпа для воды. Полная техническая характеристика согласно технической спецификации.</t>
  </si>
  <si>
    <t>сервер, WiFi роутер, наушник для колл-центра, источники бесперебойного питания. Полная техническая характеристика согласно технической спецификации.</t>
  </si>
  <si>
    <t>Архивный железный шкаф. Полная техническая характеристика согласно технической спецификации.</t>
  </si>
  <si>
    <t>Файловый шкаф. Полная техническая характеристика согласно технической спецификации.</t>
  </si>
  <si>
    <t>Обогреватель. Полная техническая характеристика согласно технической спецификации.</t>
  </si>
  <si>
    <t>Диспенсер напольный. Полная техническая характеристика согласно технической спецификации.</t>
  </si>
  <si>
    <t>Шредер 4 уровень секретности. Полная техническая характеристика согласно технической спецификации.</t>
  </si>
  <si>
    <t>Брошюратор. Полная техническая характеристика согласно технической спецификации.</t>
  </si>
  <si>
    <t>Резак. Полная техническая характеристика согласно технической спецификации.</t>
  </si>
  <si>
    <t>Ламинатор. Полная техническая характеристика согласно технической спецификации.</t>
  </si>
  <si>
    <t>Компрессор автомобильный 10 атм. Полная техническая характеристика согласно технической спецификации.</t>
  </si>
  <si>
    <t>Шиномонтаж</t>
  </si>
  <si>
    <t>Услуги письменного перевода англ/рус. яз.</t>
  </si>
  <si>
    <t>Услуги письменного перевода рус/каз. яз.</t>
  </si>
  <si>
    <t>усл.</t>
  </si>
  <si>
    <t>Услуги фотографа корпоративных мероприятий</t>
  </si>
  <si>
    <t>Услуги по организации тимбилдинга</t>
  </si>
  <si>
    <t>Услуги по организации празднования Нового года</t>
  </si>
  <si>
    <t>час.</t>
  </si>
  <si>
    <t>Подключение основной абонентской линии разовое</t>
  </si>
  <si>
    <t>Предоставление абонентской линии</t>
  </si>
  <si>
    <t>пп. 3) п. 3.1. Правил</t>
  </si>
  <si>
    <t>точек</t>
  </si>
  <si>
    <t>74677_KAZENERGY</t>
  </si>
  <si>
    <t>75534_НЕФТЬ И ГАЗ КАЗАХСТАНА - OIL&amp;GAS
OF KAZAKHSTAN</t>
  </si>
  <si>
    <t>70934_Социологические исследования</t>
  </si>
  <si>
    <t xml:space="preserve">Методическая литература зарубежных изданий </t>
  </si>
  <si>
    <t>Bloomberg Terminal</t>
  </si>
  <si>
    <t>Транс - Logistics</t>
  </si>
  <si>
    <t>Pictochart</t>
  </si>
  <si>
    <t>OECD Library</t>
  </si>
  <si>
    <t>пп. 9) п. 3.1. Правил</t>
  </si>
  <si>
    <t>Электронный журнал - Финансовый директор</t>
  </si>
  <si>
    <t>литература</t>
  </si>
  <si>
    <t>подписка на периодич. издание</t>
  </si>
  <si>
    <t>Разработка интегрированной информационной системы</t>
  </si>
  <si>
    <t>тендер</t>
  </si>
  <si>
    <t>Консультационные услуги в рамках программы по макроэкономике</t>
  </si>
  <si>
    <t>Шиномонтаж. Полная техническая характеристика согласно технической спецификации.</t>
  </si>
  <si>
    <t>Услуги письменного перевода англ/рус. яз. Полная техническая характеристика согласно технической спецификации.</t>
  </si>
  <si>
    <t>Услуги письменного перевода рус/каз. яз. Полная техническая характеристика согласно технической спецификации.</t>
  </si>
  <si>
    <t>Расходы по уничтожению, изготовлению печатей и штампов. Полная техническая характеристика согласно технической спецификации.</t>
  </si>
  <si>
    <t>Расходы по организации корпоративных мероприятий. Полная техническая характеристика согласно технической спецификации.</t>
  </si>
  <si>
    <t>Услуги фотографа корпоративных мероприятий. Полная техническая характеристика согласно технической спецификации.</t>
  </si>
  <si>
    <t>Услуги по организации тимбилдинга. Полная техническая характеристика согласно технической спецификации.</t>
  </si>
  <si>
    <t>Услуги по организации празднования Нового года. Полная техническая характеристика согласно технической спецификации.</t>
  </si>
  <si>
    <t>Разработка интегрированной информационной системы. Полная техническая характеристика согласно технической спецификации.</t>
  </si>
  <si>
    <t>пп. 17) п. 3.1. Правил</t>
  </si>
  <si>
    <t>пп. 8) п. 3.1. Правил</t>
  </si>
  <si>
    <t>пп. 15) п. 3.1. Правил</t>
  </si>
  <si>
    <t>пп. 21) п. 3.1. Правил</t>
  </si>
  <si>
    <t xml:space="preserve">Depozitphotos </t>
  </si>
  <si>
    <t xml:space="preserve">Электронная база данных Factiva.com </t>
  </si>
  <si>
    <t>Услуги печати ежемесячного обзора</t>
  </si>
  <si>
    <t>Типографские услуги в рамках программы по макроэкономике</t>
  </si>
  <si>
    <t>Услуги печати ежемесячного обзора.  Полная техническая характеристика согласно технической спецификации.</t>
  </si>
  <si>
    <t>Типографские услуги в рамках программы по макроэкономике.  Полная техническая характеристика согласно технической спецификации.</t>
  </si>
  <si>
    <t>DVD Диски</t>
  </si>
  <si>
    <t>DVD Диски. Полная техническая характеристика согласно технической спецификации.</t>
  </si>
  <si>
    <t>Калькулятор научный 10+2 раз</t>
  </si>
  <si>
    <t>Калькулятор научный 10+2 раз. Полная техническая характеристика согласно технической спецификации.</t>
  </si>
  <si>
    <t xml:space="preserve">Калькулятор научный </t>
  </si>
  <si>
    <t>Клавиатура USB + мышь</t>
  </si>
  <si>
    <t>Клавиатура USB + мышь. Полная техническая характеристика согласно технической спецификации.</t>
  </si>
  <si>
    <t>Аккумулятор для ИБП AV9-12, 9Ah/12V</t>
  </si>
  <si>
    <t>Аккумулятор ИБП AV9-12, 9Ah/12V. Полная техническая характеристика согласно технической спецификации.</t>
  </si>
  <si>
    <t>Картридж черного цвета для принтера Canon MF4870dn</t>
  </si>
  <si>
    <t>Картридж лазерный для цветного принтера HP M274n</t>
  </si>
  <si>
    <t>Картридж черного цвета для принтера Canon MF4870dn. Полная техническая характеристика согласно технической спецификации.</t>
  </si>
  <si>
    <t>Картридж лазерный для цветного принтера HP M274n. Полная техническая характеристика согласно технической спецификации.</t>
  </si>
  <si>
    <t>Картридж лазерный, цвет голубой, для цветного принтера HP M274n</t>
  </si>
  <si>
    <t>Картридж лазерный, цвет желтый, для цветного принтера HP M274n</t>
  </si>
  <si>
    <t>Картридж лазерный, цвет пурпурный, для цветного принтера HP M274n</t>
  </si>
  <si>
    <t>Картридж лазерный, цвет голубой, для цветного принтера HP M274n. Полная техническая характеристика согласно технической спецификации.</t>
  </si>
  <si>
    <t>Картридж лазерный, цвет желтый, для цветного принтера HP M274n. Полная техническая характеристика согласно технической спецификации.</t>
  </si>
  <si>
    <t>Картридж лазерный, цвет пурпурный, для цветного принтера HP M274n. Полная техническая характеристика согласно технической спецификации.</t>
  </si>
  <si>
    <t xml:space="preserve">Web - камера </t>
  </si>
  <si>
    <t>Аудио гарнитура</t>
  </si>
  <si>
    <t>Сетевой фильтр 6 розеток</t>
  </si>
  <si>
    <t>Сетевой фильтр 6 розеток. Полная техническая характеристика согласно технической спецификации.</t>
  </si>
  <si>
    <t>Web - камера. Полная техническая характеристика согласно технической спецификации.</t>
  </si>
  <si>
    <t>Айдион гарнитура. Полная техническая характеристика согласно технической спецификации.</t>
  </si>
  <si>
    <t xml:space="preserve">Антивирусное программное обеспечение </t>
  </si>
  <si>
    <t>Антивирусное программное обеспечение. Полная техническая характеристика согласно технической спецификации.</t>
  </si>
  <si>
    <t xml:space="preserve">Флеш.карта 128Gb 160MB/s на фотоаппарат </t>
  </si>
  <si>
    <t>Сумка для видеокамеры. Полная техническая характеристика согласно технической спецификации.</t>
  </si>
  <si>
    <t>Флеш.карта 128Gb 160MB/s на фотоаппарат . Полная техническая характеристика согласно технической спецификации.</t>
  </si>
  <si>
    <t xml:space="preserve">Аккумулятор на фотоаппарат </t>
  </si>
  <si>
    <t xml:space="preserve">Сумка для фотоаппарата  </t>
  </si>
  <si>
    <t>Сумка для фотоаппарата. Полная техническая характеристика согласно технической спецификации.</t>
  </si>
  <si>
    <t>Аккумулятор на фотоаппарат. Полная техническая характеристика согласно технической спецификации.</t>
  </si>
  <si>
    <t xml:space="preserve">Флеш.карта UHS-I 128Gb 95MB/s на видеокамеру </t>
  </si>
  <si>
    <t>Флеш.карта UHS-I 128Gb 95MB/s на видеокамеру. Полная техническая характеристика согласно технической спецификации.</t>
  </si>
  <si>
    <t>Комплект тонер-картриджа на МФУ Xerox VersaLink c7020</t>
  </si>
  <si>
    <t>Комплект тонер-картриджа на МФУ Xerox VersaLink c7020. Полная техническая характеристика согласно технической спецификации.</t>
  </si>
  <si>
    <t>Сумка для видеокамеры</t>
  </si>
  <si>
    <t>Освежитель воздуха для салона автомобиля</t>
  </si>
  <si>
    <t>Освежитель воздуха для салона автомобиля. Полная техническая характеристика согласно технической спецификации.</t>
  </si>
  <si>
    <t>Римские шторы</t>
  </si>
  <si>
    <t>Римские шторы. Полная техническая характеристика согласно технической спецификации.</t>
  </si>
  <si>
    <t>Программное обеспечение для сервера</t>
  </si>
  <si>
    <t xml:space="preserve">Системный блок </t>
  </si>
  <si>
    <t>Системный блок. Полная техническая характеристика согласно технической спецификации.</t>
  </si>
  <si>
    <t>Многофункциональное лазерное цветное устройство (принтер сканер копир)</t>
  </si>
  <si>
    <t>Многофункциональное лазерное цветное устройство (принтер сканер копир). Полная техническая характеристика согласно технической спецификации.</t>
  </si>
  <si>
    <t>Монитор для компьютера</t>
  </si>
  <si>
    <t>Монитор для компьютера. Полная техническая характеристика согласно технической спецификации.</t>
  </si>
  <si>
    <t xml:space="preserve">Блок питания для сервера </t>
  </si>
  <si>
    <t>Блок питания для сервера. Полная техническая характеристика согласно технической спецификации.</t>
  </si>
  <si>
    <t>Экран моторизованный для проектора</t>
  </si>
  <si>
    <t xml:space="preserve">Ноутбук </t>
  </si>
  <si>
    <t>Ноутбук. Полная техническая характеристика согласно технической спецификации.</t>
  </si>
  <si>
    <t>Экран моторизованный для проектора. Полная техническая характеристика согласно технической спецификации.</t>
  </si>
  <si>
    <t xml:space="preserve">Проектор </t>
  </si>
  <si>
    <t>Проектор . Полная техническая характеристика согласно технической спецификации.</t>
  </si>
  <si>
    <t xml:space="preserve">Сетевой накопитель </t>
  </si>
  <si>
    <t>Сетевой накопитель. Полная техническая характеристика согласно технической спецификации.</t>
  </si>
  <si>
    <t>Сетевой накопитель 4000Gb</t>
  </si>
  <si>
    <t>Сетевой накопитель 4000Gb. Полная техническая характеристика согласно технической спецификации.</t>
  </si>
  <si>
    <t xml:space="preserve">Жесткий диск HDD 5000 Gb </t>
  </si>
  <si>
    <t>Жесткий диск HDD 5000 Gb. Полная техническая характеристика согласно технической спецификации.</t>
  </si>
  <si>
    <t xml:space="preserve">Жесткий диск HDD 10000 </t>
  </si>
  <si>
    <t>Жесткий диск HDD 10000. Полная техническая характеристика согласно технической спецификации.</t>
  </si>
  <si>
    <t xml:space="preserve">SSD накопитель 480 Gb </t>
  </si>
  <si>
    <t>SSD накопитель 480 Gb. Полная техническая характеристика согласно технической спецификации.</t>
  </si>
  <si>
    <t xml:space="preserve">Настольный компьютер </t>
  </si>
  <si>
    <t>Настольный компьютер. Полная техническая характеристика согласно технической спецификации.</t>
  </si>
  <si>
    <t>Видеокамера</t>
  </si>
  <si>
    <t>Фотоаппарат</t>
  </si>
  <si>
    <t>Видеокамера. Полная техническая характеристика согласно технической спецификации.</t>
  </si>
  <si>
    <t>Фотоаппарат. Полная техническая характеристика согласно технической спецификации.</t>
  </si>
  <si>
    <t xml:space="preserve">Вспышка к фотоаппарату </t>
  </si>
  <si>
    <t>Вспышка к фотоаппарату. Полная техническая характеристика согласно технической спецификации.</t>
  </si>
  <si>
    <t xml:space="preserve">Объектив к фотоаппарату </t>
  </si>
  <si>
    <t>Объектив к фотоаппарату. Полная техническая характеристика согласно технической спецификации.</t>
  </si>
  <si>
    <t xml:space="preserve">Радио петличный микрофон </t>
  </si>
  <si>
    <t>Радио петличный микрофон. Полная техническая характеристика согласно технической спецификации.</t>
  </si>
  <si>
    <t xml:space="preserve">Светодиодная панель на камеру </t>
  </si>
  <si>
    <t>Светодиодная панель на камеру. Полная техническая характеристика согласно технической спецификации.</t>
  </si>
  <si>
    <t xml:space="preserve">Телевизор </t>
  </si>
  <si>
    <t>Телевизор. Полная техническая характеристика согласно технической спецификации.</t>
  </si>
  <si>
    <t>Комплект для аудио и видео конференции</t>
  </si>
  <si>
    <t>Комплект для аудио и видео конференции. Полная техническая характеристика согласно технической спецификации.</t>
  </si>
  <si>
    <t>Цветной принтер - многофункциональное лазерное цветное устройство (принтер сканер копир)</t>
  </si>
  <si>
    <t>Цветной принтер - многофункциональное лазерное цветное устройство (принтер сканер копир). Полная техническая характеристика согласно технической спецификации.</t>
  </si>
  <si>
    <t xml:space="preserve">Источник бесперебойного питания для серверов </t>
  </si>
  <si>
    <t>Источник бесперебойного питания для серверов. Полная техническая характеристика согласно технической спецификации.</t>
  </si>
  <si>
    <t xml:space="preserve">Источники бесперебойного питания </t>
  </si>
  <si>
    <t>Источники бесперебойного питания. Полная техническая характеристика согласно технической спецификации.</t>
  </si>
  <si>
    <t>Операционная система для персонального компьютера</t>
  </si>
  <si>
    <t>Операционная система для персонального компьютера. Полная техническая характеристика согласно технической спецификации.</t>
  </si>
  <si>
    <t>Календарь настольный с логотипом компании</t>
  </si>
  <si>
    <t>Буклет с логотипом компании</t>
  </si>
  <si>
    <t>Записная книжка А5 с логотипом компании</t>
  </si>
  <si>
    <t>Записная книжка А6 с логотипом компании</t>
  </si>
  <si>
    <t>Блокнот А-4 на пружине с логотипом компании</t>
  </si>
  <si>
    <t>Блокнот А-5 на пружине с логотипом компании</t>
  </si>
  <si>
    <t xml:space="preserve">Ручка с логотипом компании </t>
  </si>
  <si>
    <t>Папка биговка с логотипом компании</t>
  </si>
  <si>
    <t>Папка с подъемом с логотипом компании</t>
  </si>
  <si>
    <t>Брендбук для логотипа компании</t>
  </si>
  <si>
    <t>Программное обеспечение для сервера. Полная техническая характеристика согласно технической спецификации.</t>
  </si>
  <si>
    <t>Программное обеспечение для персонального компьютера</t>
  </si>
  <si>
    <t>Программное обеспечение для персонального компьютера. Полная техническая характеристика согласно технической спецификации.</t>
  </si>
  <si>
    <t xml:space="preserve">Пакет бумажный А4 с логотипом компании </t>
  </si>
  <si>
    <t>Пакет бумажный  А4 с логотипом компании. Полная техническая характеристика согласно технической спецификации.</t>
  </si>
  <si>
    <t>Календарь настольный с логотипом компании. Полная техническая характеристика согласно технической спецификации.</t>
  </si>
  <si>
    <t>Буклет с логотипом компании. Полная техническая характеристика согласно технической спецификации.</t>
  </si>
  <si>
    <t>Записная книжка А5 с логотипом компании. Полная техническая характеристика согласно технической спецификации.</t>
  </si>
  <si>
    <t>Записная книжка А6 с логотипом компании. Полная техническая характеристика согласно технической спецификации.</t>
  </si>
  <si>
    <t>Блокнот А-4 на пружине с логотипом компании. на пружине. Полная техническая характеристика согласно технической спецификации.</t>
  </si>
  <si>
    <t>Папка биговка с логотипом компании. Полная техническая характеристика согласно технической спецификации.</t>
  </si>
  <si>
    <t>Брендбук для логотипа компании. Полная техническая характеристика согласно технической спецификации.</t>
  </si>
  <si>
    <t xml:space="preserve">Услуги хранения автошин </t>
  </si>
  <si>
    <t>Услуги хранения автошин. Полная техническая характеристика согласно технической спецификации.</t>
  </si>
  <si>
    <t xml:space="preserve">Техническое обслуживание и ремонт телефонов, компьютеров, перифериного оборудования, цветного принтера </t>
  </si>
  <si>
    <t>Техническое обслуживание и ремонт телефонов, компьютеров, перифериного оборудования, цветного принтера. Полная техническая характеристика согласно технической спецификации.</t>
  </si>
  <si>
    <t>Обновление программного обеспечения (годовая техподдержка шести лицензий)</t>
  </si>
  <si>
    <t>Обновление программного обеспечения (годовая техподдержка шести лицензий). Полная техническая характеристика согласно технической спецификации.</t>
  </si>
  <si>
    <t>Расходы по организации корпоративного мероприятия</t>
  </si>
  <si>
    <t xml:space="preserve">Абон.плата за доступ к сети Интернет + внеш. IP адрес </t>
  </si>
  <si>
    <t xml:space="preserve">Аренда телеком.оборудования с телефонными номерами и обслуживание </t>
  </si>
  <si>
    <t>Абон.плата за ID телевидение</t>
  </si>
  <si>
    <t xml:space="preserve">Междугородние переговоры </t>
  </si>
  <si>
    <t>Аренда служебного нежилого помещения</t>
  </si>
  <si>
    <t>Аренда служебного нежилого помещения для служебной автомашины</t>
  </si>
  <si>
    <t>пп. 11) п. 3.1. Правил</t>
  </si>
  <si>
    <t>пп. 4) п. 3.1. Правил</t>
  </si>
  <si>
    <t>Размещение объявлений в средствах массовой информации</t>
  </si>
  <si>
    <t>Раздел 2. Закупки товаров, работ, услуг, осуществляемые согласно подпунктам 1), 3), 4), 9), 11), 13), 19) пункта 3.1. Правил</t>
  </si>
  <si>
    <t>Услуги технического осмотра</t>
  </si>
  <si>
    <t>Услуги технического осмотра. Полная техническая характеристика согласно технической спецификации.</t>
  </si>
  <si>
    <t>Услуги курьерские почтовые по доставке корреспонденции и посылок</t>
  </si>
  <si>
    <t>Услуги курьерские почтовые по доставке корреспонденции и посылок. Полная техническая характеристика согласно технической спецификации.</t>
  </si>
  <si>
    <t>Услуги по проведению аналитического исследования 
общественно-политической ситуации в Казахстане</t>
  </si>
  <si>
    <t xml:space="preserve">Услуги аудита финансовой отчетности за 2018 год </t>
  </si>
  <si>
    <t>Услуги аудита финансовой отчетности за 2018 год. Полная техническая характеристика согласно технической спецификации.</t>
  </si>
  <si>
    <t>Штатив для фотоаппарата</t>
  </si>
  <si>
    <t>Штатив для фотоаппарата. Полная техническая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</si>
</sst>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\ _р_._-;\-* #,##0\ _р_._-;_-* &quot;-&quot;\ _р_._-;_-@_-"/>
    <numFmt numFmtId="164" formatCode="_-* #,##0_р_._-;\-* #,##0_р_._-;_-* &quot;-&quot;_р_._-;_-@_-"/>
    <numFmt numFmtId="165" formatCode="_-* #,##0.00_р_._-;\-* #,##0.00_р_._-;_-* &quot;-&quot;??_р_._-;_-@_-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&quot;Ј&quot;* #,##0_-;\-&quot;Ј&quot;* #,##0_-;_-&quot;Ј&quot;* &quot;-&quot;_-;_-@_-"/>
    <numFmt numFmtId="193" formatCode="_-&quot;Ј&quot;* #,##0.00_-;\-&quot;Ј&quot;* #,##0.00_-;_-&quot;Ј&quot;* &quot;-&quot;??_-;_-@_-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</numFmts>
  <fonts count="56" x14ac:knownFonts="1">
    <font>
      <sz val="10"/>
      <name val="Times New Roman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0.5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1">
    <xf numFmtId="0" fontId="0" fillId="0" borderId="0"/>
    <xf numFmtId="166" fontId="1" fillId="0" borderId="1">
      <protection locked="0"/>
    </xf>
    <xf numFmtId="166" fontId="1" fillId="0" borderId="1">
      <protection locked="0"/>
    </xf>
    <xf numFmtId="166" fontId="1" fillId="0" borderId="1">
      <protection locked="0"/>
    </xf>
    <xf numFmtId="4" fontId="1" fillId="0" borderId="0">
      <protection locked="0"/>
    </xf>
    <xf numFmtId="4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4" fontId="1" fillId="0" borderId="0">
      <protection locked="0"/>
    </xf>
    <xf numFmtId="4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4" fontId="1" fillId="0" borderId="0">
      <protection locked="0"/>
    </xf>
    <xf numFmtId="167" fontId="1" fillId="0" borderId="0">
      <protection locked="0"/>
    </xf>
    <xf numFmtId="168" fontId="1" fillId="0" borderId="0">
      <protection locked="0"/>
    </xf>
    <xf numFmtId="168" fontId="1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1" fillId="0" borderId="1">
      <protection locked="0"/>
    </xf>
    <xf numFmtId="166" fontId="1" fillId="0" borderId="1">
      <protection locked="0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9" fontId="5" fillId="0" borderId="0" applyFill="0" applyBorder="0">
      <alignment vertical="top"/>
    </xf>
    <xf numFmtId="170" fontId="5" fillId="0" borderId="0" applyFill="0" applyBorder="0">
      <alignment vertical="top"/>
    </xf>
    <xf numFmtId="171" fontId="5" fillId="0" borderId="0" applyFill="0" applyBorder="0">
      <alignment vertical="top"/>
    </xf>
    <xf numFmtId="172" fontId="5" fillId="0" borderId="0" applyFill="0" applyBorder="0">
      <alignment vertical="top"/>
    </xf>
    <xf numFmtId="173" fontId="5" fillId="0" borderId="0" applyFill="0" applyBorder="0">
      <alignment vertical="top"/>
    </xf>
    <xf numFmtId="174" fontId="5" fillId="0" borderId="0" applyFill="0" applyBorder="0">
      <alignment vertical="top"/>
    </xf>
    <xf numFmtId="175" fontId="5" fillId="0" borderId="0" applyFill="0" applyBorder="0">
      <alignment vertical="top"/>
    </xf>
    <xf numFmtId="176" fontId="5" fillId="0" borderId="0" applyFill="0" applyBorder="0">
      <alignment vertical="top"/>
    </xf>
    <xf numFmtId="177" fontId="5" fillId="0" borderId="0" applyFill="0" applyBorder="0">
      <alignment vertical="top"/>
    </xf>
    <xf numFmtId="178" fontId="5" fillId="0" borderId="0" applyFill="0" applyBorder="0">
      <alignment vertical="top"/>
    </xf>
    <xf numFmtId="179" fontId="5" fillId="0" borderId="0" applyFill="0" applyBorder="0">
      <alignment vertical="top"/>
    </xf>
    <xf numFmtId="179" fontId="5" fillId="0" borderId="0" applyFill="0" applyBorder="0">
      <alignment horizontal="center" vertical="top"/>
    </xf>
    <xf numFmtId="180" fontId="5" fillId="0" borderId="0" applyFill="0" applyBorder="0">
      <alignment vertical="top"/>
    </xf>
    <xf numFmtId="181" fontId="5" fillId="0" borderId="0" applyFill="0" applyBorder="0">
      <alignment vertical="top"/>
    </xf>
    <xf numFmtId="182" fontId="5" fillId="0" borderId="0" applyFill="0" applyBorder="0">
      <alignment vertical="top"/>
    </xf>
    <xf numFmtId="183" fontId="5" fillId="0" borderId="0" applyFill="0" applyBorder="0">
      <alignment vertical="top"/>
    </xf>
    <xf numFmtId="184" fontId="6" fillId="0" borderId="0" applyFill="0" applyBorder="0">
      <alignment vertical="top"/>
    </xf>
    <xf numFmtId="185" fontId="5" fillId="0" borderId="0" applyFill="0" applyBorder="0">
      <alignment vertical="top"/>
    </xf>
    <xf numFmtId="186" fontId="5" fillId="0" borderId="0" applyFill="0" applyBorder="0">
      <alignment vertical="top"/>
    </xf>
    <xf numFmtId="187" fontId="5" fillId="0" borderId="0" applyFill="0" applyBorder="0">
      <alignment vertical="top"/>
    </xf>
    <xf numFmtId="188" fontId="5" fillId="0" borderId="0" applyFill="0" applyBorder="0">
      <alignment vertical="top"/>
    </xf>
    <xf numFmtId="189" fontId="5" fillId="0" borderId="0" applyFill="0" applyBorder="0">
      <alignment vertical="top"/>
    </xf>
    <xf numFmtId="190" fontId="5" fillId="0" borderId="0" applyFill="0" applyBorder="0">
      <alignment vertical="top"/>
    </xf>
    <xf numFmtId="191" fontId="5" fillId="0" borderId="0" applyFill="0" applyBorder="0">
      <alignment vertical="top"/>
    </xf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194" fontId="9" fillId="0" borderId="0" applyFont="0" applyFill="0" applyBorder="0" applyAlignment="0" applyProtection="0"/>
    <xf numFmtId="0" fontId="3" fillId="0" borderId="0"/>
    <xf numFmtId="0" fontId="10" fillId="0" borderId="0" applyFill="0" applyBorder="0">
      <alignment vertical="top"/>
    </xf>
    <xf numFmtId="0" fontId="11" fillId="0" borderId="0" applyFill="0" applyBorder="0">
      <alignment vertical="top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horizontal="left" vertical="top"/>
      <protection hidden="1"/>
    </xf>
    <xf numFmtId="0" fontId="14" fillId="0" borderId="0" applyFill="0" applyBorder="0">
      <alignment horizontal="left" vertical="top" indent="1"/>
      <protection hidden="1"/>
    </xf>
    <xf numFmtId="0" fontId="14" fillId="0" borderId="0" applyFill="0" applyBorder="0">
      <alignment horizontal="left" vertical="top" indent="2"/>
      <protection hidden="1"/>
    </xf>
    <xf numFmtId="0" fontId="14" fillId="0" borderId="0" applyFill="0" applyBorder="0">
      <alignment horizontal="left" vertical="top" indent="3"/>
      <protection hidden="1"/>
    </xf>
    <xf numFmtId="169" fontId="15" fillId="0" borderId="0" applyFill="0" applyBorder="0">
      <alignment vertical="top"/>
      <protection locked="0"/>
    </xf>
    <xf numFmtId="170" fontId="15" fillId="0" borderId="0" applyFill="0" applyBorder="0">
      <alignment vertical="top"/>
      <protection locked="0"/>
    </xf>
    <xf numFmtId="171" fontId="15" fillId="0" borderId="0" applyFill="0" applyBorder="0">
      <alignment vertical="top"/>
      <protection locked="0"/>
    </xf>
    <xf numFmtId="172" fontId="15" fillId="0" borderId="0" applyFill="0" applyBorder="0">
      <alignment vertical="top"/>
      <protection locked="0"/>
    </xf>
    <xf numFmtId="173" fontId="15" fillId="0" borderId="0" applyFill="0" applyBorder="0">
      <alignment vertical="top"/>
      <protection locked="0"/>
    </xf>
    <xf numFmtId="174" fontId="15" fillId="0" borderId="0" applyFill="0" applyBorder="0">
      <alignment vertical="top"/>
      <protection locked="0"/>
    </xf>
    <xf numFmtId="195" fontId="15" fillId="0" borderId="0" applyFill="0" applyBorder="0">
      <alignment vertical="top"/>
      <protection locked="0"/>
    </xf>
    <xf numFmtId="196" fontId="15" fillId="0" borderId="0" applyFill="0" applyBorder="0">
      <alignment vertical="top"/>
      <protection locked="0"/>
    </xf>
    <xf numFmtId="177" fontId="15" fillId="0" borderId="0" applyFill="0" applyBorder="0">
      <alignment vertical="top"/>
      <protection locked="0"/>
    </xf>
    <xf numFmtId="178" fontId="15" fillId="0" borderId="0" applyFill="0" applyBorder="0">
      <alignment vertical="top"/>
      <protection locked="0"/>
    </xf>
    <xf numFmtId="179" fontId="15" fillId="0" borderId="0" applyFill="0" applyBorder="0">
      <alignment vertical="top"/>
      <protection locked="0"/>
    </xf>
    <xf numFmtId="180" fontId="15" fillId="0" borderId="0" applyFill="0" applyBorder="0">
      <alignment vertical="top"/>
      <protection locked="0"/>
    </xf>
    <xf numFmtId="180" fontId="16" fillId="0" borderId="0" applyFill="0" applyBorder="0">
      <alignment vertical="top"/>
      <protection locked="0"/>
    </xf>
    <xf numFmtId="180" fontId="15" fillId="0" borderId="0" applyFill="0" applyBorder="0">
      <alignment vertical="top"/>
      <protection locked="0"/>
    </xf>
    <xf numFmtId="49" fontId="15" fillId="0" borderId="0" applyFill="0" applyBorder="0">
      <alignment vertical="top"/>
      <protection locked="0"/>
    </xf>
    <xf numFmtId="49" fontId="16" fillId="0" borderId="0" applyFill="0" applyBorder="0">
      <alignment vertical="top"/>
      <protection locked="0"/>
    </xf>
    <xf numFmtId="0" fontId="15" fillId="0" borderId="0" applyFill="0" applyBorder="0">
      <alignment vertical="top" wrapText="1"/>
      <protection locked="0"/>
    </xf>
    <xf numFmtId="181" fontId="15" fillId="0" borderId="0" applyFill="0" applyBorder="0">
      <alignment vertical="top"/>
      <protection locked="0"/>
    </xf>
    <xf numFmtId="182" fontId="15" fillId="0" borderId="0" applyFill="0" applyBorder="0">
      <alignment vertical="top"/>
      <protection locked="0"/>
    </xf>
    <xf numFmtId="183" fontId="15" fillId="0" borderId="0" applyFill="0" applyBorder="0">
      <alignment vertical="top"/>
      <protection locked="0"/>
    </xf>
    <xf numFmtId="184" fontId="15" fillId="0" borderId="0" applyFill="0" applyBorder="0">
      <alignment vertical="top"/>
      <protection locked="0"/>
    </xf>
    <xf numFmtId="185" fontId="15" fillId="0" borderId="0" applyFill="0" applyBorder="0">
      <alignment vertical="top"/>
      <protection locked="0"/>
    </xf>
    <xf numFmtId="186" fontId="15" fillId="0" borderId="0" applyFill="0" applyBorder="0">
      <alignment vertical="top"/>
      <protection locked="0"/>
    </xf>
    <xf numFmtId="187" fontId="15" fillId="0" borderId="0" applyFill="0" applyBorder="0">
      <alignment vertical="top"/>
      <protection locked="0"/>
    </xf>
    <xf numFmtId="188" fontId="15" fillId="0" borderId="0" applyFill="0" applyBorder="0">
      <alignment vertical="top"/>
      <protection locked="0"/>
    </xf>
    <xf numFmtId="189" fontId="15" fillId="0" borderId="0" applyFill="0" applyBorder="0">
      <alignment vertical="top"/>
      <protection locked="0"/>
    </xf>
    <xf numFmtId="190" fontId="15" fillId="0" borderId="0" applyFill="0" applyBorder="0">
      <alignment vertical="top"/>
      <protection locked="0"/>
    </xf>
    <xf numFmtId="191" fontId="15" fillId="0" borderId="0" applyFill="0" applyBorder="0">
      <alignment vertical="top"/>
      <protection locked="0"/>
    </xf>
    <xf numFmtId="49" fontId="15" fillId="0" borderId="0" applyFill="0" applyBorder="0">
      <alignment horizontal="left" vertical="top"/>
      <protection locked="0"/>
    </xf>
    <xf numFmtId="49" fontId="15" fillId="0" borderId="0" applyFill="0" applyBorder="0">
      <alignment horizontal="left" vertical="top" indent="1"/>
      <protection locked="0"/>
    </xf>
    <xf numFmtId="49" fontId="15" fillId="0" borderId="0" applyFill="0" applyBorder="0">
      <alignment horizontal="left" vertical="top" indent="2"/>
      <protection locked="0"/>
    </xf>
    <xf numFmtId="49" fontId="15" fillId="0" borderId="0" applyFill="0" applyBorder="0">
      <alignment horizontal="left" vertical="top" indent="3"/>
      <protection locked="0"/>
    </xf>
    <xf numFmtId="49" fontId="15" fillId="0" borderId="0" applyFill="0" applyBorder="0">
      <alignment horizontal="left" vertical="top" indent="4"/>
      <protection locked="0"/>
    </xf>
    <xf numFmtId="49" fontId="15" fillId="0" borderId="0" applyFill="0" applyBorder="0">
      <alignment horizontal="center"/>
      <protection locked="0"/>
    </xf>
    <xf numFmtId="49" fontId="15" fillId="0" borderId="0" applyFill="0" applyBorder="0">
      <alignment horizontal="center" wrapText="1"/>
      <protection locked="0"/>
    </xf>
    <xf numFmtId="49" fontId="5" fillId="0" borderId="0" applyFill="0" applyBorder="0">
      <alignment vertical="top"/>
    </xf>
    <xf numFmtId="0" fontId="5" fillId="0" borderId="0" applyFill="0" applyBorder="0">
      <alignment vertical="top" wrapText="1"/>
    </xf>
    <xf numFmtId="0" fontId="7" fillId="0" borderId="0"/>
    <xf numFmtId="0" fontId="17" fillId="0" borderId="0" applyNumberFormat="0" applyFont="0" applyBorder="0" applyAlignment="0">
      <alignment horizontal="left"/>
    </xf>
    <xf numFmtId="0" fontId="13" fillId="0" borderId="0" applyFill="0" applyBorder="0">
      <alignment vertical="top"/>
    </xf>
    <xf numFmtId="0" fontId="13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3" fillId="0" borderId="0" applyFill="0" applyBorder="0">
      <alignment horizontal="left" vertical="top" indent="3"/>
    </xf>
    <xf numFmtId="0" fontId="5" fillId="0" borderId="0" applyFill="0" applyBorder="0">
      <alignment vertical="top"/>
    </xf>
    <xf numFmtId="0" fontId="5" fillId="0" borderId="0" applyFill="0" applyBorder="0">
      <alignment horizontal="left" vertical="top" indent="1"/>
    </xf>
    <xf numFmtId="0" fontId="5" fillId="0" borderId="0" applyFill="0" applyBorder="0">
      <alignment horizontal="left" vertical="top" indent="2"/>
    </xf>
    <xf numFmtId="0" fontId="5" fillId="0" borderId="0" applyFill="0" applyBorder="0">
      <alignment horizontal="left" vertical="top" indent="3"/>
    </xf>
    <xf numFmtId="0" fontId="5" fillId="0" borderId="0" applyFill="0" applyBorder="0">
      <alignment horizontal="left" vertical="top" indent="4"/>
    </xf>
    <xf numFmtId="0" fontId="5" fillId="0" borderId="0" applyFill="0" applyBorder="0">
      <alignment horizontal="center"/>
    </xf>
    <xf numFmtId="0" fontId="5" fillId="0" borderId="0" applyFill="0" applyBorder="0">
      <alignment horizontal="center" wrapText="1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9" fillId="7" borderId="2" applyNumberFormat="0" applyAlignment="0" applyProtection="0"/>
    <xf numFmtId="197" fontId="20" fillId="0" borderId="3" applyBorder="0">
      <protection hidden="1"/>
    </xf>
    <xf numFmtId="0" fontId="21" fillId="20" borderId="4" applyNumberFormat="0" applyAlignment="0" applyProtection="0"/>
    <xf numFmtId="0" fontId="22" fillId="20" borderId="2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7" fillId="0" borderId="0"/>
    <xf numFmtId="0" fontId="28" fillId="21" borderId="9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5" fillId="0" borderId="0" applyFill="0" applyBorder="0"/>
    <xf numFmtId="0" fontId="31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2" fillId="0" borderId="0"/>
    <xf numFmtId="0" fontId="3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5" fillId="0" borderId="11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>
      <protection locked="0"/>
    </xf>
    <xf numFmtId="166" fontId="2" fillId="0" borderId="0">
      <protection locked="0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8" fillId="4" borderId="0" applyNumberFormat="0" applyBorder="0" applyAlignment="0" applyProtection="0"/>
    <xf numFmtId="198" fontId="1" fillId="0" borderId="0">
      <protection locked="0"/>
    </xf>
    <xf numFmtId="198" fontId="1" fillId="0" borderId="0">
      <protection locked="0"/>
    </xf>
    <xf numFmtId="0" fontId="40" fillId="0" borderId="0">
      <alignment vertical="center"/>
    </xf>
  </cellStyleXfs>
  <cellXfs count="64">
    <xf numFmtId="0" fontId="0" fillId="0" borderId="0" xfId="0"/>
    <xf numFmtId="1" fontId="42" fillId="24" borderId="0" xfId="147" applyNumberFormat="1" applyFont="1" applyFill="1" applyBorder="1" applyAlignment="1">
      <alignment horizontal="center" vertical="top" wrapText="1"/>
    </xf>
    <xf numFmtId="3" fontId="42" fillId="24" borderId="0" xfId="147" applyNumberFormat="1" applyFont="1" applyFill="1" applyBorder="1" applyAlignment="1">
      <alignment horizontal="center" vertical="top" wrapText="1"/>
    </xf>
    <xf numFmtId="3" fontId="44" fillId="24" borderId="12" xfId="147" applyNumberFormat="1" applyFont="1" applyFill="1" applyBorder="1" applyAlignment="1">
      <alignment horizontal="center" vertical="top" wrapText="1"/>
    </xf>
    <xf numFmtId="4" fontId="45" fillId="24" borderId="12" xfId="167" applyNumberFormat="1" applyFont="1" applyFill="1" applyBorder="1" applyAlignment="1">
      <alignment horizontal="right" vertical="top" wrapText="1"/>
    </xf>
    <xf numFmtId="0" fontId="43" fillId="24" borderId="0" xfId="0" applyFont="1" applyFill="1"/>
    <xf numFmtId="4" fontId="43" fillId="24" borderId="0" xfId="0" applyNumberFormat="1" applyFont="1" applyFill="1"/>
    <xf numFmtId="0" fontId="46" fillId="24" borderId="0" xfId="167" applyFont="1" applyFill="1" applyBorder="1" applyAlignment="1">
      <alignment horizontal="left"/>
    </xf>
    <xf numFmtId="4" fontId="44" fillId="24" borderId="0" xfId="167" applyNumberFormat="1" applyFont="1" applyFill="1" applyBorder="1" applyAlignment="1">
      <alignment horizontal="center" vertical="top"/>
    </xf>
    <xf numFmtId="4" fontId="47" fillId="24" borderId="0" xfId="167" applyNumberFormat="1" applyFont="1" applyFill="1" applyBorder="1" applyAlignment="1">
      <alignment horizontal="center" vertical="top"/>
    </xf>
    <xf numFmtId="4" fontId="42" fillId="24" borderId="0" xfId="167" applyNumberFormat="1" applyFont="1" applyFill="1" applyAlignment="1">
      <alignment horizontal="center" vertical="top" wrapText="1"/>
    </xf>
    <xf numFmtId="0" fontId="43" fillId="24" borderId="0" xfId="0" applyFont="1" applyFill="1" applyAlignment="1">
      <alignment horizontal="center"/>
    </xf>
    <xf numFmtId="0" fontId="43" fillId="24" borderId="0" xfId="0" applyFont="1" applyFill="1" applyAlignment="1">
      <alignment vertical="top"/>
    </xf>
    <xf numFmtId="0" fontId="43" fillId="24" borderId="0" xfId="0" applyFont="1" applyFill="1" applyAlignment="1">
      <alignment horizontal="center" vertical="top"/>
    </xf>
    <xf numFmtId="49" fontId="41" fillId="24" borderId="3" xfId="167" applyNumberFormat="1" applyFont="1" applyFill="1" applyBorder="1" applyAlignment="1">
      <alignment horizontal="center" vertical="top" wrapText="1"/>
    </xf>
    <xf numFmtId="4" fontId="41" fillId="24" borderId="3" xfId="147" applyNumberFormat="1" applyFont="1" applyFill="1" applyBorder="1" applyAlignment="1">
      <alignment horizontal="center" vertical="top" wrapText="1"/>
    </xf>
    <xf numFmtId="3" fontId="41" fillId="24" borderId="3" xfId="147" applyNumberFormat="1" applyFont="1" applyFill="1" applyBorder="1" applyAlignment="1">
      <alignment horizontal="center" vertical="top" wrapText="1"/>
    </xf>
    <xf numFmtId="0" fontId="50" fillId="24" borderId="0" xfId="0" applyFont="1" applyFill="1"/>
    <xf numFmtId="4" fontId="50" fillId="24" borderId="0" xfId="0" applyNumberFormat="1" applyFont="1" applyFill="1"/>
    <xf numFmtId="3" fontId="49" fillId="24" borderId="17" xfId="186" applyNumberFormat="1" applyFont="1" applyFill="1" applyBorder="1" applyAlignment="1">
      <alignment horizontal="center" vertical="top" wrapText="1"/>
    </xf>
    <xf numFmtId="3" fontId="49" fillId="24" borderId="19" xfId="186" applyNumberFormat="1" applyFont="1" applyFill="1" applyBorder="1" applyAlignment="1">
      <alignment horizontal="center" vertical="top" wrapText="1"/>
    </xf>
    <xf numFmtId="3" fontId="44" fillId="24" borderId="0" xfId="167" applyNumberFormat="1" applyFont="1" applyFill="1" applyBorder="1" applyAlignment="1">
      <alignment horizontal="center" vertical="top" wrapText="1"/>
    </xf>
    <xf numFmtId="4" fontId="41" fillId="24" borderId="0" xfId="167" applyNumberFormat="1" applyFont="1" applyFill="1" applyAlignment="1">
      <alignment horizontal="center" vertical="top" wrapText="1"/>
    </xf>
    <xf numFmtId="1" fontId="42" fillId="24" borderId="0" xfId="147" applyNumberFormat="1" applyFont="1" applyFill="1" applyAlignment="1">
      <alignment horizontal="center" vertical="top" wrapText="1"/>
    </xf>
    <xf numFmtId="3" fontId="42" fillId="24" borderId="0" xfId="147" applyNumberFormat="1" applyFont="1" applyFill="1" applyAlignment="1">
      <alignment horizontal="center" vertical="top" wrapText="1"/>
    </xf>
    <xf numFmtId="0" fontId="42" fillId="24" borderId="0" xfId="167" applyFont="1" applyFill="1" applyAlignment="1">
      <alignment horizontal="center" vertical="top" wrapText="1"/>
    </xf>
    <xf numFmtId="49" fontId="53" fillId="24" borderId="3" xfId="167" applyNumberFormat="1" applyFont="1" applyFill="1" applyBorder="1" applyAlignment="1">
      <alignment horizontal="center" vertical="top" wrapText="1"/>
    </xf>
    <xf numFmtId="4" fontId="49" fillId="24" borderId="3" xfId="147" applyNumberFormat="1" applyFont="1" applyFill="1" applyBorder="1" applyAlignment="1">
      <alignment horizontal="center" vertical="top" wrapText="1"/>
    </xf>
    <xf numFmtId="3" fontId="41" fillId="24" borderId="3" xfId="186" applyNumberFormat="1" applyFont="1" applyFill="1" applyBorder="1" applyAlignment="1">
      <alignment horizontal="center" vertical="top" wrapText="1"/>
    </xf>
    <xf numFmtId="3" fontId="41" fillId="24" borderId="3" xfId="147" applyNumberFormat="1" applyFont="1" applyFill="1" applyBorder="1" applyAlignment="1">
      <alignment horizontal="center" vertical="center" wrapText="1"/>
    </xf>
    <xf numFmtId="4" fontId="49" fillId="24" borderId="3" xfId="167" applyNumberFormat="1" applyFont="1" applyFill="1" applyBorder="1" applyAlignment="1">
      <alignment horizontal="center" vertical="top"/>
    </xf>
    <xf numFmtId="3" fontId="49" fillId="24" borderId="3" xfId="186" applyNumberFormat="1" applyFont="1" applyFill="1" applyBorder="1" applyAlignment="1">
      <alignment horizontal="center" vertical="top" wrapText="1"/>
    </xf>
    <xf numFmtId="1" fontId="49" fillId="24" borderId="13" xfId="186" applyNumberFormat="1" applyFont="1" applyFill="1" applyBorder="1" applyAlignment="1">
      <alignment horizontal="center" vertical="top" wrapText="1"/>
    </xf>
    <xf numFmtId="3" fontId="49" fillId="24" borderId="13" xfId="186" applyNumberFormat="1" applyFont="1" applyFill="1" applyBorder="1" applyAlignment="1">
      <alignment horizontal="center" vertical="top" wrapText="1"/>
    </xf>
    <xf numFmtId="3" fontId="49" fillId="24" borderId="16" xfId="186" applyNumberFormat="1" applyFont="1" applyFill="1" applyBorder="1" applyAlignment="1">
      <alignment horizontal="center" vertical="top" wrapText="1"/>
    </xf>
    <xf numFmtId="41" fontId="53" fillId="24" borderId="3" xfId="0" applyNumberFormat="1" applyFont="1" applyFill="1" applyBorder="1" applyAlignment="1">
      <alignment horizontal="center" vertical="top" wrapText="1"/>
    </xf>
    <xf numFmtId="4" fontId="53" fillId="24" borderId="3" xfId="147" applyNumberFormat="1" applyFont="1" applyFill="1" applyBorder="1" applyAlignment="1">
      <alignment horizontal="center" vertical="top" wrapText="1"/>
    </xf>
    <xf numFmtId="3" fontId="53" fillId="24" borderId="3" xfId="147" applyNumberFormat="1" applyFont="1" applyFill="1" applyBorder="1" applyAlignment="1">
      <alignment horizontal="center" vertical="top" wrapText="1"/>
    </xf>
    <xf numFmtId="41" fontId="53" fillId="24" borderId="3" xfId="0" applyNumberFormat="1" applyFont="1" applyFill="1" applyBorder="1" applyAlignment="1">
      <alignment vertical="top" wrapText="1"/>
    </xf>
    <xf numFmtId="1" fontId="41" fillId="24" borderId="3" xfId="186" applyNumberFormat="1" applyFont="1" applyFill="1" applyBorder="1" applyAlignment="1">
      <alignment horizontal="center" vertical="top" wrapText="1"/>
    </xf>
    <xf numFmtId="4" fontId="50" fillId="25" borderId="0" xfId="0" applyNumberFormat="1" applyFont="1" applyFill="1"/>
    <xf numFmtId="1" fontId="49" fillId="24" borderId="3" xfId="186" applyNumberFormat="1" applyFont="1" applyFill="1" applyBorder="1" applyAlignment="1">
      <alignment horizontal="left" vertical="top" wrapText="1"/>
    </xf>
    <xf numFmtId="49" fontId="42" fillId="24" borderId="0" xfId="167" applyNumberFormat="1" applyFont="1" applyFill="1" applyBorder="1" applyAlignment="1">
      <alignment horizontal="center" vertical="top" wrapText="1"/>
    </xf>
    <xf numFmtId="3" fontId="49" fillId="24" borderId="3" xfId="186" applyNumberFormat="1" applyFont="1" applyFill="1" applyBorder="1" applyAlignment="1">
      <alignment horizontal="center" vertical="top" wrapText="1"/>
    </xf>
    <xf numFmtId="3" fontId="49" fillId="24" borderId="0" xfId="147" applyNumberFormat="1" applyFont="1" applyFill="1" applyBorder="1" applyAlignment="1">
      <alignment horizontal="center" vertical="top" wrapText="1"/>
    </xf>
    <xf numFmtId="1" fontId="49" fillId="24" borderId="3" xfId="186" applyNumberFormat="1" applyFont="1" applyFill="1" applyBorder="1" applyAlignment="1">
      <alignment horizontal="center" vertical="top" wrapText="1"/>
    </xf>
    <xf numFmtId="1" fontId="49" fillId="24" borderId="13" xfId="186" applyNumberFormat="1" applyFont="1" applyFill="1" applyBorder="1" applyAlignment="1">
      <alignment horizontal="center" vertical="top" wrapText="1"/>
    </xf>
    <xf numFmtId="3" fontId="49" fillId="24" borderId="13" xfId="186" applyNumberFormat="1" applyFont="1" applyFill="1" applyBorder="1" applyAlignment="1">
      <alignment horizontal="center" vertical="top" wrapText="1"/>
    </xf>
    <xf numFmtId="3" fontId="49" fillId="24" borderId="16" xfId="186" applyNumberFormat="1" applyFont="1" applyFill="1" applyBorder="1" applyAlignment="1">
      <alignment horizontal="center" vertical="top" wrapText="1"/>
    </xf>
    <xf numFmtId="3" fontId="48" fillId="24" borderId="0" xfId="147" applyNumberFormat="1" applyFont="1" applyFill="1" applyBorder="1" applyAlignment="1">
      <alignment horizontal="center" vertical="top" wrapText="1"/>
    </xf>
    <xf numFmtId="0" fontId="52" fillId="24" borderId="18" xfId="167" applyFont="1" applyFill="1" applyBorder="1" applyAlignment="1">
      <alignment horizontal="left"/>
    </xf>
    <xf numFmtId="0" fontId="52" fillId="24" borderId="15" xfId="167" applyFont="1" applyFill="1" applyBorder="1" applyAlignment="1">
      <alignment horizontal="left"/>
    </xf>
    <xf numFmtId="0" fontId="52" fillId="24" borderId="14" xfId="167" applyFont="1" applyFill="1" applyBorder="1" applyAlignment="1">
      <alignment horizontal="left"/>
    </xf>
    <xf numFmtId="1" fontId="49" fillId="24" borderId="3" xfId="186" applyNumberFormat="1" applyFont="1" applyFill="1" applyBorder="1" applyAlignment="1">
      <alignment horizontal="left" vertical="top" wrapText="1"/>
    </xf>
    <xf numFmtId="1" fontId="49" fillId="24" borderId="18" xfId="186" applyNumberFormat="1" applyFont="1" applyFill="1" applyBorder="1" applyAlignment="1">
      <alignment horizontal="left" vertical="top" wrapText="1"/>
    </xf>
    <xf numFmtId="1" fontId="49" fillId="24" borderId="15" xfId="186" applyNumberFormat="1" applyFont="1" applyFill="1" applyBorder="1" applyAlignment="1">
      <alignment horizontal="left" vertical="top" wrapText="1"/>
    </xf>
    <xf numFmtId="1" fontId="49" fillId="24" borderId="14" xfId="186" applyNumberFormat="1" applyFont="1" applyFill="1" applyBorder="1" applyAlignment="1">
      <alignment horizontal="left" vertical="top" wrapText="1"/>
    </xf>
    <xf numFmtId="1" fontId="51" fillId="24" borderId="15" xfId="186" applyNumberFormat="1" applyFont="1" applyFill="1" applyBorder="1" applyAlignment="1">
      <alignment horizontal="left" vertical="top" wrapText="1"/>
    </xf>
    <xf numFmtId="1" fontId="51" fillId="24" borderId="14" xfId="186" applyNumberFormat="1" applyFont="1" applyFill="1" applyBorder="1" applyAlignment="1">
      <alignment horizontal="left" vertical="top" wrapText="1"/>
    </xf>
    <xf numFmtId="1" fontId="49" fillId="24" borderId="18" xfId="186" applyNumberFormat="1" applyFont="1" applyFill="1" applyBorder="1" applyAlignment="1">
      <alignment horizontal="left" vertical="center" wrapText="1"/>
    </xf>
    <xf numFmtId="1" fontId="49" fillId="24" borderId="15" xfId="186" applyNumberFormat="1" applyFont="1" applyFill="1" applyBorder="1" applyAlignment="1">
      <alignment horizontal="left" vertical="center" wrapText="1"/>
    </xf>
    <xf numFmtId="1" fontId="49" fillId="24" borderId="14" xfId="186" applyNumberFormat="1" applyFont="1" applyFill="1" applyBorder="1" applyAlignment="1">
      <alignment horizontal="left" vertical="center" wrapText="1"/>
    </xf>
    <xf numFmtId="1" fontId="51" fillId="24" borderId="15" xfId="186" applyNumberFormat="1" applyFont="1" applyFill="1" applyBorder="1" applyAlignment="1">
      <alignment horizontal="left" vertical="center" wrapText="1"/>
    </xf>
    <xf numFmtId="1" fontId="51" fillId="24" borderId="14" xfId="186" applyNumberFormat="1" applyFont="1" applyFill="1" applyBorder="1" applyAlignment="1">
      <alignment horizontal="left" vertical="center" wrapText="1"/>
    </xf>
  </cellXfs>
  <cellStyles count="191">
    <cellStyle name="?’һғһ‚›ү" xfId="1"/>
    <cellStyle name="?’ћѓћ‚›‰" xfId="2"/>
    <cellStyle name="”?ќђќ‘ћ‚›‰" xfId="5"/>
    <cellStyle name="”?қђқ‘һ‚›ү" xfId="4"/>
    <cellStyle name="”?љ‘?ђһ‚ђққ›ү" xfId="6"/>
    <cellStyle name="”?љ‘?ђћ‚ђќќ›‰" xfId="7"/>
    <cellStyle name="”€ќђќ‘ћ‚›‰" xfId="9"/>
    <cellStyle name="”€қђқ‘һ‚›ү" xfId="8"/>
    <cellStyle name="”€љ‘€ђһ‚ђққ›ү" xfId="10"/>
    <cellStyle name="”€љ‘€ђћ‚ђќќ›‰" xfId="11"/>
    <cellStyle name="”ќђќ‘ћ‚›‰" xfId="12"/>
    <cellStyle name="”љ‘ђћ‚ђќќ›‰" xfId="13"/>
    <cellStyle name="„…ќ…†ќ›‰" xfId="14"/>
    <cellStyle name="„…қ…†қ›ү" xfId="15"/>
    <cellStyle name="€’һғһ‚›ү" xfId="18"/>
    <cellStyle name="€’ћѓћ‚›‰" xfId="19"/>
    <cellStyle name="‡ђѓћ‹ћ‚ћљ1" xfId="16"/>
    <cellStyle name="‡ђѓћ‹ћ‚ћљ2" xfId="17"/>
    <cellStyle name="’ћѓћ‚›‰" xfId="3"/>
    <cellStyle name="20% — акцент1" xfId="20" builtinId="30" customBuiltin="1"/>
    <cellStyle name="20% — акцент2" xfId="21" builtinId="34" customBuiltin="1"/>
    <cellStyle name="20% — акцент3" xfId="22" builtinId="38" customBuiltin="1"/>
    <cellStyle name="20% — акцент4" xfId="23" builtinId="42" customBuiltin="1"/>
    <cellStyle name="20% — акцент5" xfId="24" builtinId="46" customBuiltin="1"/>
    <cellStyle name="20% — акцент6" xfId="25" builtinId="50" customBuiltin="1"/>
    <cellStyle name="40% — акцент1" xfId="26" builtinId="31" customBuiltin="1"/>
    <cellStyle name="40% — акцент2" xfId="27" builtinId="35" customBuiltin="1"/>
    <cellStyle name="40% — акцент3" xfId="28" builtinId="39" customBuiltin="1"/>
    <cellStyle name="40% — акцент4" xfId="29" builtinId="43" customBuiltin="1"/>
    <cellStyle name="40% — акцент5" xfId="30" builtinId="47" customBuiltin="1"/>
    <cellStyle name="40% — акцент6" xfId="31" builtinId="51" customBuiltin="1"/>
    <cellStyle name="60% — акцент1" xfId="32" builtinId="32" customBuiltin="1"/>
    <cellStyle name="60% — акцент2" xfId="33" builtinId="36" customBuiltin="1"/>
    <cellStyle name="60% — акцент3" xfId="34" builtinId="40" customBuiltin="1"/>
    <cellStyle name="60% — акцент4" xfId="35" builtinId="44" customBuiltin="1"/>
    <cellStyle name="60% — акцент5" xfId="36" builtinId="48" customBuiltin="1"/>
    <cellStyle name="60% — акцент6" xfId="37" builtinId="52" customBuiltin="1"/>
    <cellStyle name="cc0 -CalComma" xfId="38"/>
    <cellStyle name="cc1 -CalComma" xfId="39"/>
    <cellStyle name="cc2 -CalComma" xfId="40"/>
    <cellStyle name="cc3 -CalComma" xfId="41"/>
    <cellStyle name="cc4 -CalComma" xfId="42"/>
    <cellStyle name="cdDMM -CalDate" xfId="43"/>
    <cellStyle name="cdDMMY -CalDate" xfId="44"/>
    <cellStyle name="cdDMMYHM -CalDateTime" xfId="45"/>
    <cellStyle name="cdDMY -CalDate" xfId="46"/>
    <cellStyle name="cdMDY -CalDate" xfId="47"/>
    <cellStyle name="cdMMY -CalDate" xfId="48"/>
    <cellStyle name="cdMMYc-CalDateC" xfId="49"/>
    <cellStyle name="cf0 -CalFixed" xfId="50"/>
    <cellStyle name="cmHM  -CalTime" xfId="51"/>
    <cellStyle name="cmHM24+ -CalTime" xfId="52"/>
    <cellStyle name="cp0 -CalPercent" xfId="53"/>
    <cellStyle name="cp1 -CalPercent" xfId="54"/>
    <cellStyle name="cp2 -CalPercent" xfId="55"/>
    <cellStyle name="cp3 -CalPercent" xfId="56"/>
    <cellStyle name="cr0 -CalCurr" xfId="57"/>
    <cellStyle name="cr1 -CalCurr" xfId="58"/>
    <cellStyle name="cr2 -CalCurr" xfId="59"/>
    <cellStyle name="cr3 -CalCurr" xfId="60"/>
    <cellStyle name="cr4 -CalCurr" xfId="61"/>
    <cellStyle name="Currency [0]_basle_98_97_96 1" xfId="62"/>
    <cellStyle name="Currency_basle_98_97_96 1" xfId="63"/>
    <cellStyle name="E&amp;Y House" xfId="64"/>
    <cellStyle name="Euro" xfId="65"/>
    <cellStyle name="Excel Built-in Normal" xfId="66"/>
    <cellStyle name="h0 -Heading" xfId="67"/>
    <cellStyle name="h1 -Heading" xfId="68"/>
    <cellStyle name="h2 -Heading" xfId="69"/>
    <cellStyle name="h3 -Heading" xfId="70"/>
    <cellStyle name="hp0 -Hyperlink" xfId="71"/>
    <cellStyle name="hp1 -Hyperlink" xfId="72"/>
    <cellStyle name="hp2 -Hyperlink" xfId="73"/>
    <cellStyle name="hp3 -Hyperlink" xfId="74"/>
    <cellStyle name="ic0 -InpComma" xfId="75"/>
    <cellStyle name="ic1 -InpComma" xfId="76"/>
    <cellStyle name="ic2 -InpComma" xfId="77"/>
    <cellStyle name="ic3 -InpComma" xfId="78"/>
    <cellStyle name="ic4 -InpComma" xfId="79"/>
    <cellStyle name="idDMM -InpDate" xfId="80"/>
    <cellStyle name="idDMMY -InpDate" xfId="81"/>
    <cellStyle name="idDMMYHM -InpDateTime" xfId="82"/>
    <cellStyle name="idDMY -InpDate" xfId="83"/>
    <cellStyle name="idMDY -InpDate" xfId="84"/>
    <cellStyle name="idMMY -InpDate" xfId="85"/>
    <cellStyle name="if0 -InpFixed" xfId="86"/>
    <cellStyle name="if0b-InpFixedB" xfId="87"/>
    <cellStyle name="if0-InpFixed" xfId="88"/>
    <cellStyle name="iln -InpTableTextNoWrap" xfId="89"/>
    <cellStyle name="ilnb-InpTableTextNoWrapB" xfId="90"/>
    <cellStyle name="ilw -InpTableTextWrap" xfId="91"/>
    <cellStyle name="imHM  -InpTime" xfId="92"/>
    <cellStyle name="imHM24+ -InpTime" xfId="93"/>
    <cellStyle name="ip0 -InpPercent" xfId="94"/>
    <cellStyle name="ip1 -InpPercent" xfId="95"/>
    <cellStyle name="ip2 -InpPercent" xfId="96"/>
    <cellStyle name="ip3 -InpPercent" xfId="97"/>
    <cellStyle name="ir0 -InpCurr" xfId="98"/>
    <cellStyle name="ir1 -InpCurr" xfId="99"/>
    <cellStyle name="ir2 -InpCurr" xfId="100"/>
    <cellStyle name="ir3 -InpCurr" xfId="101"/>
    <cellStyle name="ir4 -InpCurr" xfId="102"/>
    <cellStyle name="is0 -InpSideText" xfId="103"/>
    <cellStyle name="is1 -InpSideText" xfId="104"/>
    <cellStyle name="is2 -InpSideText" xfId="105"/>
    <cellStyle name="is3 -InpSideText" xfId="106"/>
    <cellStyle name="is4 -InpSideText" xfId="107"/>
    <cellStyle name="itn -InpTopTextNoWrap" xfId="108"/>
    <cellStyle name="itw -InpTopTextWrap" xfId="109"/>
    <cellStyle name="ltn -TableTextNoWrap" xfId="110"/>
    <cellStyle name="ltw -TableTextWrap" xfId="111"/>
    <cellStyle name="Normal_070917_2008_Экспорт_МЭБП3" xfId="112"/>
    <cellStyle name="Report" xfId="113"/>
    <cellStyle name="sh0 -SideHeading" xfId="114"/>
    <cellStyle name="sh1 -SideHeading" xfId="115"/>
    <cellStyle name="sh2 -SideHeading" xfId="116"/>
    <cellStyle name="sh3 -SideHeading" xfId="117"/>
    <cellStyle name="st0 -SideText" xfId="118"/>
    <cellStyle name="st1 -SideText" xfId="119"/>
    <cellStyle name="st2 -SideText" xfId="120"/>
    <cellStyle name="st3 -SideText" xfId="121"/>
    <cellStyle name="st4 -SideText" xfId="122"/>
    <cellStyle name="ttn -TopTextNoWrap" xfId="123"/>
    <cellStyle name="ttw -TopTextWrap" xfId="124"/>
    <cellStyle name="Акцент1" xfId="125" builtinId="29" customBuiltin="1"/>
    <cellStyle name="Акцент2" xfId="126" builtinId="33" customBuiltin="1"/>
    <cellStyle name="Акцент3" xfId="127" builtinId="37" customBuiltin="1"/>
    <cellStyle name="Акцент4" xfId="128" builtinId="41" customBuiltin="1"/>
    <cellStyle name="Акцент5" xfId="129" builtinId="45" customBuiltin="1"/>
    <cellStyle name="Акцент6" xfId="130" builtinId="49" customBuiltin="1"/>
    <cellStyle name="Ввод " xfId="131" builtinId="20" customBuiltin="1"/>
    <cellStyle name="Виталий" xfId="132"/>
    <cellStyle name="Вывод" xfId="133" builtinId="21" customBuiltin="1"/>
    <cellStyle name="Вычисление" xfId="134" builtinId="22" customBuiltin="1"/>
    <cellStyle name="Гиперссылка 2" xfId="135"/>
    <cellStyle name="Заголовок 1" xfId="136" builtinId="16" customBuiltin="1"/>
    <cellStyle name="Заголовок 2" xfId="137" builtinId="17" customBuiltin="1"/>
    <cellStyle name="Заголовок 3" xfId="138" builtinId="18" customBuiltin="1"/>
    <cellStyle name="Заголовок 4" xfId="139" builtinId="19" customBuiltin="1"/>
    <cellStyle name="Итог" xfId="140" builtinId="25" customBuiltin="1"/>
    <cellStyle name="КАНДАГАЧ тел3-33-96" xfId="141"/>
    <cellStyle name="Контрольная ячейка" xfId="142" builtinId="23" customBuiltin="1"/>
    <cellStyle name="Название" xfId="143" builtinId="15" customBuiltin="1"/>
    <cellStyle name="Нейтральный" xfId="144" builtinId="28" customBuiltin="1"/>
    <cellStyle name="Обычный" xfId="0" builtinId="0"/>
    <cellStyle name="Обычный 10" xfId="145"/>
    <cellStyle name="Обычный 11" xfId="146"/>
    <cellStyle name="Обычный 12" xfId="147"/>
    <cellStyle name="Обычный 12 2" xfId="190"/>
    <cellStyle name="Обычный 2" xfId="148"/>
    <cellStyle name="Обычный 2 2" xfId="149"/>
    <cellStyle name="Обычный 3" xfId="150"/>
    <cellStyle name="Обычный 3 2" xfId="151"/>
    <cellStyle name="Обычный 3 3" xfId="152"/>
    <cellStyle name="Обычный 3 4" xfId="153"/>
    <cellStyle name="Обычный 3 5" xfId="154"/>
    <cellStyle name="Обычный 3 6" xfId="155"/>
    <cellStyle name="Обычный 3 7" xfId="156"/>
    <cellStyle name="Обычный 3 8" xfId="157"/>
    <cellStyle name="Обычный 3 8 2" xfId="158"/>
    <cellStyle name="Обычный 4" xfId="159"/>
    <cellStyle name="Обычный 5" xfId="160"/>
    <cellStyle name="Обычный 5 2" xfId="161"/>
    <cellStyle name="Обычный 5 3" xfId="162"/>
    <cellStyle name="Обычный 6" xfId="163"/>
    <cellStyle name="Обычный 7" xfId="164"/>
    <cellStyle name="Обычный 8" xfId="165"/>
    <cellStyle name="Обычный 9" xfId="166"/>
    <cellStyle name="Обычный_Лист1" xfId="167"/>
    <cellStyle name="Плохой" xfId="168" builtinId="27" customBuiltin="1"/>
    <cellStyle name="Пояснение" xfId="169" builtinId="53" customBuiltin="1"/>
    <cellStyle name="Примечание" xfId="170" builtinId="10" customBuiltin="1"/>
    <cellStyle name="Связанная ячейка" xfId="171" builtinId="24" customBuiltin="1"/>
    <cellStyle name="Стиль 1" xfId="172"/>
    <cellStyle name="Текст предупреждения" xfId="173" builtinId="11" customBuiltin="1"/>
    <cellStyle name="Тысячи [0]_96111" xfId="174"/>
    <cellStyle name="Тысячи_96111" xfId="175"/>
    <cellStyle name="Үђғһ‹һ‚һљ1" xfId="176"/>
    <cellStyle name="Үђғһ‹һ‚һљ2" xfId="177"/>
    <cellStyle name="Финансовый 2" xfId="178"/>
    <cellStyle name="Финансовый 2 2" xfId="179"/>
    <cellStyle name="Финансовый 3" xfId="180"/>
    <cellStyle name="Финансовый 4" xfId="181"/>
    <cellStyle name="Финансовый 4 2" xfId="182"/>
    <cellStyle name="Финансовый 4 3" xfId="183"/>
    <cellStyle name="Финансовый 5" xfId="184"/>
    <cellStyle name="Финансовый 6" xfId="185"/>
    <cellStyle name="Финансовый 7" xfId="186"/>
    <cellStyle name="Хороший" xfId="187" builtinId="26" customBuiltin="1"/>
    <cellStyle name="Џђһ–…қ’қ›ү" xfId="188"/>
    <cellStyle name="Џђћ–…ќ’ќ›‰" xfId="1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47"/>
  <sheetViews>
    <sheetView tabSelected="1" view="pageBreakPreview" zoomScale="85" zoomScaleNormal="85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257" sqref="G257"/>
    </sheetView>
  </sheetViews>
  <sheetFormatPr defaultRowHeight="18" customHeight="1" x14ac:dyDescent="0.2"/>
  <cols>
    <col min="1" max="1" width="7.6640625" style="5" customWidth="1"/>
    <col min="2" max="2" width="44.5" style="11" customWidth="1"/>
    <col min="3" max="3" width="21.83203125" style="11" customWidth="1"/>
    <col min="4" max="4" width="49.1640625" style="11" customWidth="1"/>
    <col min="5" max="5" width="15.5" style="11" customWidth="1"/>
    <col min="6" max="6" width="16.5" style="12" customWidth="1"/>
    <col min="7" max="7" width="19" style="13" customWidth="1"/>
    <col min="8" max="8" width="27.33203125" style="5" customWidth="1"/>
    <col min="9" max="9" width="25.83203125" style="5" customWidth="1"/>
    <col min="10" max="10" width="24" style="13" customWidth="1"/>
    <col min="11" max="11" width="9.33203125" style="5"/>
    <col min="12" max="12" width="20.1640625" style="6" customWidth="1"/>
    <col min="13" max="13" width="13.5" style="5" bestFit="1" customWidth="1"/>
    <col min="14" max="14" width="12.5" style="5" customWidth="1"/>
    <col min="15" max="16384" width="9.33203125" style="5"/>
  </cols>
  <sheetData>
    <row r="1" spans="1:12" ht="4.5" customHeight="1" x14ac:dyDescent="0.2">
      <c r="A1" s="1"/>
      <c r="B1" s="2"/>
      <c r="C1" s="2"/>
      <c r="D1" s="2"/>
      <c r="E1" s="2"/>
      <c r="F1" s="2"/>
      <c r="G1" s="42"/>
      <c r="H1" s="42"/>
      <c r="I1" s="42"/>
      <c r="J1" s="42"/>
    </row>
    <row r="2" spans="1:12" ht="9" customHeight="1" x14ac:dyDescent="0.2">
      <c r="A2" s="1"/>
      <c r="B2" s="2"/>
      <c r="C2" s="2"/>
      <c r="D2" s="2"/>
      <c r="E2" s="2"/>
      <c r="F2" s="2"/>
      <c r="G2" s="2"/>
      <c r="H2" s="2"/>
      <c r="I2" s="21"/>
      <c r="J2" s="10"/>
    </row>
    <row r="3" spans="1:12" s="17" customFormat="1" ht="18" customHeight="1" x14ac:dyDescent="0.2">
      <c r="A3" s="44" t="s">
        <v>69</v>
      </c>
      <c r="B3" s="44"/>
      <c r="C3" s="44"/>
      <c r="D3" s="44"/>
      <c r="E3" s="44"/>
      <c r="F3" s="44"/>
      <c r="G3" s="44"/>
      <c r="H3" s="44"/>
      <c r="I3" s="44"/>
      <c r="J3" s="22"/>
      <c r="L3" s="18"/>
    </row>
    <row r="4" spans="1:12" s="17" customFormat="1" ht="18" customHeight="1" x14ac:dyDescent="0.2">
      <c r="A4" s="44" t="s">
        <v>151</v>
      </c>
      <c r="B4" s="44"/>
      <c r="C4" s="44"/>
      <c r="D4" s="44"/>
      <c r="E4" s="44"/>
      <c r="F4" s="44"/>
      <c r="G4" s="44"/>
      <c r="H4" s="44"/>
      <c r="I4" s="44"/>
      <c r="J4" s="22"/>
      <c r="L4" s="18"/>
    </row>
    <row r="5" spans="1:12" ht="3.75" customHeight="1" x14ac:dyDescent="0.2">
      <c r="A5" s="1"/>
      <c r="B5" s="2"/>
      <c r="C5" s="2"/>
      <c r="D5" s="3"/>
      <c r="E5" s="3"/>
      <c r="F5" s="3"/>
      <c r="G5" s="3"/>
      <c r="H5" s="3"/>
      <c r="I5" s="3"/>
      <c r="J5" s="4"/>
    </row>
    <row r="6" spans="1:12" s="17" customFormat="1" ht="18" customHeight="1" x14ac:dyDescent="0.2">
      <c r="A6" s="45" t="s">
        <v>3</v>
      </c>
      <c r="B6" s="47" t="s">
        <v>10</v>
      </c>
      <c r="C6" s="43" t="s">
        <v>16</v>
      </c>
      <c r="D6" s="43" t="s">
        <v>11</v>
      </c>
      <c r="E6" s="43" t="s">
        <v>17</v>
      </c>
      <c r="F6" s="43" t="s">
        <v>13</v>
      </c>
      <c r="G6" s="47" t="s">
        <v>117</v>
      </c>
      <c r="H6" s="43" t="s">
        <v>0</v>
      </c>
      <c r="I6" s="43" t="s">
        <v>1</v>
      </c>
      <c r="J6" s="43" t="s">
        <v>12</v>
      </c>
      <c r="L6" s="18"/>
    </row>
    <row r="7" spans="1:12" s="17" customFormat="1" ht="42.75" customHeight="1" x14ac:dyDescent="0.2">
      <c r="A7" s="46"/>
      <c r="B7" s="48"/>
      <c r="C7" s="47"/>
      <c r="D7" s="47"/>
      <c r="E7" s="47"/>
      <c r="F7" s="47"/>
      <c r="G7" s="48"/>
      <c r="H7" s="43"/>
      <c r="I7" s="43"/>
      <c r="J7" s="43"/>
      <c r="L7" s="18"/>
    </row>
    <row r="8" spans="1:12" s="17" customFormat="1" ht="19.5" customHeight="1" x14ac:dyDescent="0.2">
      <c r="A8" s="32">
        <v>1</v>
      </c>
      <c r="B8" s="19">
        <v>2</v>
      </c>
      <c r="C8" s="33">
        <v>3</v>
      </c>
      <c r="D8" s="20">
        <v>4</v>
      </c>
      <c r="E8" s="33">
        <v>5</v>
      </c>
      <c r="F8" s="33">
        <v>6</v>
      </c>
      <c r="G8" s="34">
        <v>7</v>
      </c>
      <c r="H8" s="31">
        <v>8</v>
      </c>
      <c r="I8" s="31">
        <v>9</v>
      </c>
      <c r="J8" s="31">
        <v>10</v>
      </c>
      <c r="L8" s="18"/>
    </row>
    <row r="9" spans="1:12" s="17" customFormat="1" ht="19.5" customHeight="1" x14ac:dyDescent="0.2">
      <c r="A9" s="54" t="s">
        <v>21</v>
      </c>
      <c r="B9" s="55"/>
      <c r="C9" s="55"/>
      <c r="D9" s="55"/>
      <c r="E9" s="55"/>
      <c r="F9" s="55"/>
      <c r="G9" s="55"/>
      <c r="H9" s="55"/>
      <c r="I9" s="55"/>
      <c r="J9" s="56"/>
      <c r="L9" s="18"/>
    </row>
    <row r="10" spans="1:12" s="17" customFormat="1" ht="19.5" customHeight="1" x14ac:dyDescent="0.2">
      <c r="A10" s="54" t="s">
        <v>18</v>
      </c>
      <c r="B10" s="57"/>
      <c r="C10" s="57"/>
      <c r="D10" s="57"/>
      <c r="E10" s="57"/>
      <c r="F10" s="57"/>
      <c r="G10" s="57"/>
      <c r="H10" s="57"/>
      <c r="I10" s="57"/>
      <c r="J10" s="58"/>
      <c r="L10" s="18"/>
    </row>
    <row r="11" spans="1:12" s="17" customFormat="1" ht="60.75" customHeight="1" x14ac:dyDescent="0.2">
      <c r="A11" s="39">
        <v>1</v>
      </c>
      <c r="B11" s="26" t="s">
        <v>26</v>
      </c>
      <c r="C11" s="14" t="s">
        <v>2</v>
      </c>
      <c r="D11" s="26" t="s">
        <v>162</v>
      </c>
      <c r="E11" s="35" t="s">
        <v>66</v>
      </c>
      <c r="F11" s="35">
        <v>1</v>
      </c>
      <c r="G11" s="38">
        <f>34989*1.07</f>
        <v>37438.230000000003</v>
      </c>
      <c r="H11" s="36">
        <f>F11*G11</f>
        <v>37438.230000000003</v>
      </c>
      <c r="I11" s="36">
        <f>H11</f>
        <v>37438.230000000003</v>
      </c>
      <c r="J11" s="37" t="s">
        <v>151</v>
      </c>
      <c r="L11" s="18">
        <f>I11-H11</f>
        <v>0</v>
      </c>
    </row>
    <row r="12" spans="1:12" s="17" customFormat="1" ht="60.75" customHeight="1" x14ac:dyDescent="0.2">
      <c r="A12" s="39">
        <v>2</v>
      </c>
      <c r="B12" s="26" t="s">
        <v>27</v>
      </c>
      <c r="C12" s="14" t="s">
        <v>2</v>
      </c>
      <c r="D12" s="26" t="s">
        <v>163</v>
      </c>
      <c r="E12" s="35" t="s">
        <v>66</v>
      </c>
      <c r="F12" s="35">
        <v>1</v>
      </c>
      <c r="G12" s="38">
        <f>75866.69*1.07</f>
        <v>81177.358300000007</v>
      </c>
      <c r="H12" s="36">
        <f t="shared" ref="H12:H58" si="0">F12*G12</f>
        <v>81177.358300000007</v>
      </c>
      <c r="I12" s="36">
        <f t="shared" ref="I12:I75" si="1">H12</f>
        <v>81177.358300000007</v>
      </c>
      <c r="J12" s="37" t="s">
        <v>151</v>
      </c>
      <c r="L12" s="18">
        <f t="shared" ref="L12:L75" si="2">I12-H12</f>
        <v>0</v>
      </c>
    </row>
    <row r="13" spans="1:12" s="17" customFormat="1" ht="60.75" customHeight="1" x14ac:dyDescent="0.2">
      <c r="A13" s="39">
        <v>3</v>
      </c>
      <c r="B13" s="26" t="s">
        <v>28</v>
      </c>
      <c r="C13" s="14" t="s">
        <v>2</v>
      </c>
      <c r="D13" s="26" t="s">
        <v>164</v>
      </c>
      <c r="E13" s="35" t="s">
        <v>66</v>
      </c>
      <c r="F13" s="35">
        <v>700</v>
      </c>
      <c r="G13" s="38">
        <f>1070*1.07</f>
        <v>1144.9000000000001</v>
      </c>
      <c r="H13" s="36">
        <f t="shared" si="0"/>
        <v>801430.00000000012</v>
      </c>
      <c r="I13" s="36">
        <f t="shared" si="1"/>
        <v>801430.00000000012</v>
      </c>
      <c r="J13" s="37" t="s">
        <v>151</v>
      </c>
      <c r="L13" s="18">
        <f t="shared" si="2"/>
        <v>0</v>
      </c>
    </row>
    <row r="14" spans="1:12" s="17" customFormat="1" ht="60.75" customHeight="1" x14ac:dyDescent="0.2">
      <c r="A14" s="39">
        <v>4</v>
      </c>
      <c r="B14" s="26" t="s">
        <v>29</v>
      </c>
      <c r="C14" s="14" t="s">
        <v>2</v>
      </c>
      <c r="D14" s="26" t="s">
        <v>165</v>
      </c>
      <c r="E14" s="35" t="s">
        <v>66</v>
      </c>
      <c r="F14" s="35">
        <v>6</v>
      </c>
      <c r="G14" s="38">
        <f>3550*1.07</f>
        <v>3798.5</v>
      </c>
      <c r="H14" s="36">
        <f>F14*G14</f>
        <v>22791</v>
      </c>
      <c r="I14" s="36">
        <f t="shared" si="1"/>
        <v>22791</v>
      </c>
      <c r="J14" s="37" t="s">
        <v>151</v>
      </c>
      <c r="L14" s="18">
        <f t="shared" si="2"/>
        <v>0</v>
      </c>
    </row>
    <row r="15" spans="1:12" s="17" customFormat="1" ht="60.75" customHeight="1" x14ac:dyDescent="0.2">
      <c r="A15" s="39">
        <v>5</v>
      </c>
      <c r="B15" s="26" t="s">
        <v>30</v>
      </c>
      <c r="C15" s="14" t="s">
        <v>2</v>
      </c>
      <c r="D15" s="26" t="s">
        <v>166</v>
      </c>
      <c r="E15" s="35" t="s">
        <v>66</v>
      </c>
      <c r="F15" s="35">
        <v>12</v>
      </c>
      <c r="G15" s="38">
        <f>5389*1.07*1.12</f>
        <v>6458.1776000000009</v>
      </c>
      <c r="H15" s="36">
        <f t="shared" si="0"/>
        <v>77498.131200000003</v>
      </c>
      <c r="I15" s="36">
        <f t="shared" si="1"/>
        <v>77498.131200000003</v>
      </c>
      <c r="J15" s="37" t="s">
        <v>151</v>
      </c>
      <c r="L15" s="18">
        <f t="shared" si="2"/>
        <v>0</v>
      </c>
    </row>
    <row r="16" spans="1:12" s="17" customFormat="1" ht="60.75" customHeight="1" x14ac:dyDescent="0.2">
      <c r="A16" s="39">
        <v>6</v>
      </c>
      <c r="B16" s="26" t="s">
        <v>31</v>
      </c>
      <c r="C16" s="14" t="s">
        <v>2</v>
      </c>
      <c r="D16" s="26" t="s">
        <v>167</v>
      </c>
      <c r="E16" s="35" t="s">
        <v>66</v>
      </c>
      <c r="F16" s="35">
        <v>12</v>
      </c>
      <c r="G16" s="38">
        <f>7630/1.12*1.07</f>
        <v>7289.3749999999991</v>
      </c>
      <c r="H16" s="36">
        <f t="shared" si="0"/>
        <v>87472.499999999985</v>
      </c>
      <c r="I16" s="36">
        <f t="shared" si="1"/>
        <v>87472.499999999985</v>
      </c>
      <c r="J16" s="37" t="s">
        <v>151</v>
      </c>
      <c r="L16" s="18">
        <f t="shared" si="2"/>
        <v>0</v>
      </c>
    </row>
    <row r="17" spans="1:12" s="17" customFormat="1" ht="60.75" customHeight="1" x14ac:dyDescent="0.2">
      <c r="A17" s="39">
        <v>7</v>
      </c>
      <c r="B17" s="26" t="s">
        <v>32</v>
      </c>
      <c r="C17" s="14" t="s">
        <v>2</v>
      </c>
      <c r="D17" s="26" t="s">
        <v>168</v>
      </c>
      <c r="E17" s="35" t="s">
        <v>66</v>
      </c>
      <c r="F17" s="35">
        <v>100</v>
      </c>
      <c r="G17" s="38">
        <f>14*1.07*1.12</f>
        <v>16.777600000000003</v>
      </c>
      <c r="H17" s="36">
        <f t="shared" si="0"/>
        <v>1677.7600000000002</v>
      </c>
      <c r="I17" s="36">
        <f t="shared" si="1"/>
        <v>1677.7600000000002</v>
      </c>
      <c r="J17" s="37" t="s">
        <v>151</v>
      </c>
      <c r="L17" s="18">
        <f t="shared" si="2"/>
        <v>0</v>
      </c>
    </row>
    <row r="18" spans="1:12" s="17" customFormat="1" ht="60.75" customHeight="1" x14ac:dyDescent="0.2">
      <c r="A18" s="39">
        <v>8</v>
      </c>
      <c r="B18" s="26" t="s">
        <v>33</v>
      </c>
      <c r="C18" s="14" t="s">
        <v>2</v>
      </c>
      <c r="D18" s="26" t="s">
        <v>169</v>
      </c>
      <c r="E18" s="35" t="s">
        <v>66</v>
      </c>
      <c r="F18" s="35">
        <v>100</v>
      </c>
      <c r="G18" s="38">
        <f>20*1.07*1.12</f>
        <v>23.968000000000004</v>
      </c>
      <c r="H18" s="36">
        <f t="shared" si="0"/>
        <v>2396.8000000000002</v>
      </c>
      <c r="I18" s="36">
        <f t="shared" si="1"/>
        <v>2396.8000000000002</v>
      </c>
      <c r="J18" s="37" t="s">
        <v>151</v>
      </c>
      <c r="L18" s="18">
        <f t="shared" si="2"/>
        <v>0</v>
      </c>
    </row>
    <row r="19" spans="1:12" s="17" customFormat="1" ht="60.75" customHeight="1" x14ac:dyDescent="0.2">
      <c r="A19" s="39">
        <v>9</v>
      </c>
      <c r="B19" s="26" t="s">
        <v>34</v>
      </c>
      <c r="C19" s="14" t="s">
        <v>2</v>
      </c>
      <c r="D19" s="26" t="s">
        <v>170</v>
      </c>
      <c r="E19" s="35" t="s">
        <v>66</v>
      </c>
      <c r="F19" s="35">
        <v>100</v>
      </c>
      <c r="G19" s="38">
        <f>76*1.07*1.12</f>
        <v>91.078400000000016</v>
      </c>
      <c r="H19" s="36">
        <f t="shared" si="0"/>
        <v>9107.840000000002</v>
      </c>
      <c r="I19" s="36">
        <f t="shared" si="1"/>
        <v>9107.840000000002</v>
      </c>
      <c r="J19" s="37" t="s">
        <v>151</v>
      </c>
      <c r="L19" s="18">
        <f t="shared" si="2"/>
        <v>0</v>
      </c>
    </row>
    <row r="20" spans="1:12" s="17" customFormat="1" ht="60.75" customHeight="1" x14ac:dyDescent="0.2">
      <c r="A20" s="39">
        <v>10</v>
      </c>
      <c r="B20" s="26" t="s">
        <v>35</v>
      </c>
      <c r="C20" s="14" t="s">
        <v>2</v>
      </c>
      <c r="D20" s="26" t="s">
        <v>171</v>
      </c>
      <c r="E20" s="35" t="s">
        <v>66</v>
      </c>
      <c r="F20" s="35">
        <v>20</v>
      </c>
      <c r="G20" s="38">
        <f>4330*1.07</f>
        <v>4633.1000000000004</v>
      </c>
      <c r="H20" s="36">
        <f t="shared" si="0"/>
        <v>92662</v>
      </c>
      <c r="I20" s="36">
        <f t="shared" si="1"/>
        <v>92662</v>
      </c>
      <c r="J20" s="37" t="s">
        <v>151</v>
      </c>
      <c r="L20" s="18">
        <f t="shared" si="2"/>
        <v>0</v>
      </c>
    </row>
    <row r="21" spans="1:12" s="17" customFormat="1" ht="60.75" customHeight="1" x14ac:dyDescent="0.2">
      <c r="A21" s="39">
        <v>11</v>
      </c>
      <c r="B21" s="26" t="s">
        <v>36</v>
      </c>
      <c r="C21" s="14" t="s">
        <v>2</v>
      </c>
      <c r="D21" s="26" t="s">
        <v>172</v>
      </c>
      <c r="E21" s="35" t="s">
        <v>67</v>
      </c>
      <c r="F21" s="35">
        <f>6</f>
        <v>6</v>
      </c>
      <c r="G21" s="38">
        <f>10000*1.07*1.12</f>
        <v>11984.000000000002</v>
      </c>
      <c r="H21" s="36">
        <f t="shared" si="0"/>
        <v>71904.000000000015</v>
      </c>
      <c r="I21" s="36">
        <f t="shared" si="1"/>
        <v>71904.000000000015</v>
      </c>
      <c r="J21" s="37" t="s">
        <v>151</v>
      </c>
      <c r="L21" s="18">
        <f t="shared" si="2"/>
        <v>0</v>
      </c>
    </row>
    <row r="22" spans="1:12" s="17" customFormat="1" ht="60.75" customHeight="1" x14ac:dyDescent="0.2">
      <c r="A22" s="39">
        <v>12</v>
      </c>
      <c r="B22" s="26" t="s">
        <v>37</v>
      </c>
      <c r="C22" s="14" t="s">
        <v>2</v>
      </c>
      <c r="D22" s="26" t="s">
        <v>173</v>
      </c>
      <c r="E22" s="35" t="s">
        <v>66</v>
      </c>
      <c r="F22" s="35">
        <v>30</v>
      </c>
      <c r="G22" s="38">
        <f>500*1.07*1.12</f>
        <v>599.20000000000005</v>
      </c>
      <c r="H22" s="36">
        <f t="shared" si="0"/>
        <v>17976</v>
      </c>
      <c r="I22" s="36">
        <f t="shared" si="1"/>
        <v>17976</v>
      </c>
      <c r="J22" s="37" t="s">
        <v>151</v>
      </c>
      <c r="L22" s="18">
        <f t="shared" si="2"/>
        <v>0</v>
      </c>
    </row>
    <row r="23" spans="1:12" s="17" customFormat="1" ht="60.75" customHeight="1" x14ac:dyDescent="0.2">
      <c r="A23" s="39">
        <v>13</v>
      </c>
      <c r="B23" s="26" t="s">
        <v>38</v>
      </c>
      <c r="C23" s="14" t="s">
        <v>2</v>
      </c>
      <c r="D23" s="26" t="s">
        <v>174</v>
      </c>
      <c r="E23" s="35" t="s">
        <v>66</v>
      </c>
      <c r="F23" s="35">
        <v>20</v>
      </c>
      <c r="G23" s="38">
        <f>1630*1.07/1.12</f>
        <v>1557.2321428571429</v>
      </c>
      <c r="H23" s="36">
        <f t="shared" si="0"/>
        <v>31144.642857142859</v>
      </c>
      <c r="I23" s="36">
        <f t="shared" si="1"/>
        <v>31144.642857142859</v>
      </c>
      <c r="J23" s="37" t="s">
        <v>151</v>
      </c>
      <c r="L23" s="18">
        <f t="shared" si="2"/>
        <v>0</v>
      </c>
    </row>
    <row r="24" spans="1:12" s="17" customFormat="1" ht="60.75" customHeight="1" x14ac:dyDescent="0.2">
      <c r="A24" s="39">
        <v>14</v>
      </c>
      <c r="B24" s="26" t="s">
        <v>39</v>
      </c>
      <c r="C24" s="14" t="s">
        <v>2</v>
      </c>
      <c r="D24" s="26" t="s">
        <v>175</v>
      </c>
      <c r="E24" s="35" t="s">
        <v>66</v>
      </c>
      <c r="F24" s="35">
        <v>3</v>
      </c>
      <c r="G24" s="38">
        <f>6705*1.07</f>
        <v>7174.35</v>
      </c>
      <c r="H24" s="36">
        <f t="shared" si="0"/>
        <v>21523.050000000003</v>
      </c>
      <c r="I24" s="36">
        <f t="shared" si="1"/>
        <v>21523.050000000003</v>
      </c>
      <c r="J24" s="37" t="s">
        <v>151</v>
      </c>
      <c r="L24" s="18">
        <f t="shared" si="2"/>
        <v>0</v>
      </c>
    </row>
    <row r="25" spans="1:12" s="17" customFormat="1" ht="60.75" customHeight="1" x14ac:dyDescent="0.2">
      <c r="A25" s="39">
        <v>15</v>
      </c>
      <c r="B25" s="26" t="s">
        <v>40</v>
      </c>
      <c r="C25" s="14" t="s">
        <v>2</v>
      </c>
      <c r="D25" s="26" t="s">
        <v>176</v>
      </c>
      <c r="E25" s="35" t="s">
        <v>66</v>
      </c>
      <c r="F25" s="35">
        <v>6</v>
      </c>
      <c r="G25" s="38">
        <f>420*1.07*1.12</f>
        <v>503.32800000000009</v>
      </c>
      <c r="H25" s="36">
        <f t="shared" si="0"/>
        <v>3019.9680000000008</v>
      </c>
      <c r="I25" s="36">
        <f t="shared" si="1"/>
        <v>3019.9680000000008</v>
      </c>
      <c r="J25" s="37" t="s">
        <v>151</v>
      </c>
      <c r="L25" s="18">
        <f t="shared" si="2"/>
        <v>0</v>
      </c>
    </row>
    <row r="26" spans="1:12" s="17" customFormat="1" ht="60.75" customHeight="1" x14ac:dyDescent="0.2">
      <c r="A26" s="39">
        <v>16</v>
      </c>
      <c r="B26" s="26" t="s">
        <v>41</v>
      </c>
      <c r="C26" s="14" t="s">
        <v>2</v>
      </c>
      <c r="D26" s="26" t="s">
        <v>177</v>
      </c>
      <c r="E26" s="35" t="s">
        <v>66</v>
      </c>
      <c r="F26" s="35">
        <v>37</v>
      </c>
      <c r="G26" s="38">
        <f>250*1.07*1.12</f>
        <v>299.60000000000002</v>
      </c>
      <c r="H26" s="36">
        <f t="shared" si="0"/>
        <v>11085.2</v>
      </c>
      <c r="I26" s="36">
        <f t="shared" si="1"/>
        <v>11085.2</v>
      </c>
      <c r="J26" s="37" t="s">
        <v>151</v>
      </c>
      <c r="L26" s="18">
        <f t="shared" si="2"/>
        <v>0</v>
      </c>
    </row>
    <row r="27" spans="1:12" s="17" customFormat="1" ht="60.75" customHeight="1" x14ac:dyDescent="0.2">
      <c r="A27" s="39">
        <v>17</v>
      </c>
      <c r="B27" s="26" t="s">
        <v>14</v>
      </c>
      <c r="C27" s="14" t="s">
        <v>2</v>
      </c>
      <c r="D27" s="26" t="s">
        <v>178</v>
      </c>
      <c r="E27" s="35" t="s">
        <v>66</v>
      </c>
      <c r="F27" s="35">
        <v>240</v>
      </c>
      <c r="G27" s="38">
        <f>99*1.07</f>
        <v>105.93</v>
      </c>
      <c r="H27" s="36">
        <f t="shared" si="0"/>
        <v>25423.200000000001</v>
      </c>
      <c r="I27" s="36">
        <f t="shared" si="1"/>
        <v>25423.200000000001</v>
      </c>
      <c r="J27" s="37" t="s">
        <v>151</v>
      </c>
      <c r="L27" s="18">
        <f t="shared" si="2"/>
        <v>0</v>
      </c>
    </row>
    <row r="28" spans="1:12" s="17" customFormat="1" ht="60.75" customHeight="1" x14ac:dyDescent="0.2">
      <c r="A28" s="39">
        <v>18</v>
      </c>
      <c r="B28" s="26" t="s">
        <v>22</v>
      </c>
      <c r="C28" s="14" t="s">
        <v>2</v>
      </c>
      <c r="D28" s="26" t="s">
        <v>179</v>
      </c>
      <c r="E28" s="35" t="s">
        <v>66</v>
      </c>
      <c r="F28" s="35">
        <v>72</v>
      </c>
      <c r="G28" s="38">
        <f>110*1.07*1.12</f>
        <v>131.82400000000001</v>
      </c>
      <c r="H28" s="36">
        <f t="shared" si="0"/>
        <v>9491.3280000000013</v>
      </c>
      <c r="I28" s="36">
        <f t="shared" si="1"/>
        <v>9491.3280000000013</v>
      </c>
      <c r="J28" s="37" t="s">
        <v>151</v>
      </c>
      <c r="L28" s="18">
        <f t="shared" si="2"/>
        <v>0</v>
      </c>
    </row>
    <row r="29" spans="1:12" s="17" customFormat="1" ht="60.75" customHeight="1" x14ac:dyDescent="0.2">
      <c r="A29" s="39">
        <v>19</v>
      </c>
      <c r="B29" s="26" t="s">
        <v>42</v>
      </c>
      <c r="C29" s="14" t="s">
        <v>2</v>
      </c>
      <c r="D29" s="26" t="s">
        <v>180</v>
      </c>
      <c r="E29" s="35" t="s">
        <v>66</v>
      </c>
      <c r="F29" s="35">
        <v>100</v>
      </c>
      <c r="G29" s="38">
        <f>1650*1.07*1.12</f>
        <v>1977.3600000000001</v>
      </c>
      <c r="H29" s="36">
        <f t="shared" si="0"/>
        <v>197736</v>
      </c>
      <c r="I29" s="36">
        <f t="shared" si="1"/>
        <v>197736</v>
      </c>
      <c r="J29" s="37" t="s">
        <v>151</v>
      </c>
      <c r="L29" s="18">
        <f t="shared" si="2"/>
        <v>0</v>
      </c>
    </row>
    <row r="30" spans="1:12" s="17" customFormat="1" ht="60.75" customHeight="1" x14ac:dyDescent="0.2">
      <c r="A30" s="39">
        <v>20</v>
      </c>
      <c r="B30" s="26" t="s">
        <v>43</v>
      </c>
      <c r="C30" s="14" t="s">
        <v>2</v>
      </c>
      <c r="D30" s="26" t="s">
        <v>181</v>
      </c>
      <c r="E30" s="35" t="s">
        <v>66</v>
      </c>
      <c r="F30" s="35">
        <f>12*100</f>
        <v>1200</v>
      </c>
      <c r="G30" s="38">
        <f>12*1.07</f>
        <v>12.84</v>
      </c>
      <c r="H30" s="36">
        <f t="shared" si="0"/>
        <v>15408</v>
      </c>
      <c r="I30" s="36">
        <f t="shared" si="1"/>
        <v>15408</v>
      </c>
      <c r="J30" s="37" t="s">
        <v>151</v>
      </c>
      <c r="L30" s="18">
        <f t="shared" si="2"/>
        <v>0</v>
      </c>
    </row>
    <row r="31" spans="1:12" s="17" customFormat="1" ht="60.75" customHeight="1" x14ac:dyDescent="0.2">
      <c r="A31" s="39">
        <v>21</v>
      </c>
      <c r="B31" s="26" t="s">
        <v>44</v>
      </c>
      <c r="C31" s="14" t="s">
        <v>2</v>
      </c>
      <c r="D31" s="26" t="s">
        <v>182</v>
      </c>
      <c r="E31" s="35" t="s">
        <v>66</v>
      </c>
      <c r="F31" s="35">
        <v>1</v>
      </c>
      <c r="G31" s="38">
        <f>4480*1.07</f>
        <v>4793.6000000000004</v>
      </c>
      <c r="H31" s="36">
        <f t="shared" si="0"/>
        <v>4793.6000000000004</v>
      </c>
      <c r="I31" s="36">
        <f t="shared" si="1"/>
        <v>4793.6000000000004</v>
      </c>
      <c r="J31" s="37" t="s">
        <v>151</v>
      </c>
      <c r="L31" s="18">
        <f t="shared" si="2"/>
        <v>0</v>
      </c>
    </row>
    <row r="32" spans="1:12" s="17" customFormat="1" ht="60.75" customHeight="1" x14ac:dyDescent="0.2">
      <c r="A32" s="39">
        <v>22</v>
      </c>
      <c r="B32" s="26" t="s">
        <v>45</v>
      </c>
      <c r="C32" s="14" t="s">
        <v>2</v>
      </c>
      <c r="D32" s="26" t="s">
        <v>183</v>
      </c>
      <c r="E32" s="35" t="s">
        <v>66</v>
      </c>
      <c r="F32" s="35">
        <v>11</v>
      </c>
      <c r="G32" s="38">
        <f>620*1.07</f>
        <v>663.40000000000009</v>
      </c>
      <c r="H32" s="36">
        <f t="shared" si="0"/>
        <v>7297.4000000000015</v>
      </c>
      <c r="I32" s="36">
        <f t="shared" si="1"/>
        <v>7297.4000000000015</v>
      </c>
      <c r="J32" s="37" t="s">
        <v>151</v>
      </c>
      <c r="L32" s="18">
        <f t="shared" si="2"/>
        <v>0</v>
      </c>
    </row>
    <row r="33" spans="1:12" s="17" customFormat="1" ht="60.75" customHeight="1" x14ac:dyDescent="0.2">
      <c r="A33" s="39">
        <v>23</v>
      </c>
      <c r="B33" s="26" t="s">
        <v>45</v>
      </c>
      <c r="C33" s="14" t="s">
        <v>2</v>
      </c>
      <c r="D33" s="26" t="s">
        <v>183</v>
      </c>
      <c r="E33" s="35" t="s">
        <v>66</v>
      </c>
      <c r="F33" s="35">
        <v>120</v>
      </c>
      <c r="G33" s="38">
        <f>280*1.07</f>
        <v>299.60000000000002</v>
      </c>
      <c r="H33" s="36">
        <f t="shared" si="0"/>
        <v>35952</v>
      </c>
      <c r="I33" s="36">
        <f t="shared" si="1"/>
        <v>35952</v>
      </c>
      <c r="J33" s="37" t="s">
        <v>151</v>
      </c>
      <c r="L33" s="18">
        <f t="shared" si="2"/>
        <v>0</v>
      </c>
    </row>
    <row r="34" spans="1:12" s="17" customFormat="1" ht="60.75" customHeight="1" x14ac:dyDescent="0.2">
      <c r="A34" s="39">
        <v>24</v>
      </c>
      <c r="B34" s="26" t="s">
        <v>46</v>
      </c>
      <c r="C34" s="14" t="s">
        <v>2</v>
      </c>
      <c r="D34" s="26" t="s">
        <v>184</v>
      </c>
      <c r="E34" s="35" t="s">
        <v>66</v>
      </c>
      <c r="F34" s="35">
        <v>6</v>
      </c>
      <c r="G34" s="38">
        <f>1100*1.07</f>
        <v>1177</v>
      </c>
      <c r="H34" s="36">
        <f t="shared" si="0"/>
        <v>7062</v>
      </c>
      <c r="I34" s="36">
        <f t="shared" si="1"/>
        <v>7062</v>
      </c>
      <c r="J34" s="37" t="s">
        <v>151</v>
      </c>
      <c r="L34" s="18">
        <f t="shared" si="2"/>
        <v>0</v>
      </c>
    </row>
    <row r="35" spans="1:12" s="17" customFormat="1" ht="60.75" customHeight="1" x14ac:dyDescent="0.2">
      <c r="A35" s="39">
        <v>25</v>
      </c>
      <c r="B35" s="26" t="s">
        <v>47</v>
      </c>
      <c r="C35" s="14" t="s">
        <v>2</v>
      </c>
      <c r="D35" s="26" t="s">
        <v>185</v>
      </c>
      <c r="E35" s="35" t="s">
        <v>66</v>
      </c>
      <c r="F35" s="35">
        <v>24</v>
      </c>
      <c r="G35" s="38">
        <f>465*1.07*1.12</f>
        <v>557.25600000000009</v>
      </c>
      <c r="H35" s="36">
        <f t="shared" si="0"/>
        <v>13374.144000000002</v>
      </c>
      <c r="I35" s="36">
        <f t="shared" si="1"/>
        <v>13374.144000000002</v>
      </c>
      <c r="J35" s="37" t="s">
        <v>151</v>
      </c>
      <c r="L35" s="18">
        <f t="shared" si="2"/>
        <v>0</v>
      </c>
    </row>
    <row r="36" spans="1:12" s="17" customFormat="1" ht="60.75" customHeight="1" x14ac:dyDescent="0.2">
      <c r="A36" s="39">
        <v>26</v>
      </c>
      <c r="B36" s="26" t="s">
        <v>297</v>
      </c>
      <c r="C36" s="14" t="s">
        <v>2</v>
      </c>
      <c r="D36" s="26" t="s">
        <v>298</v>
      </c>
      <c r="E36" s="35" t="s">
        <v>68</v>
      </c>
      <c r="F36" s="35">
        <v>50</v>
      </c>
      <c r="G36" s="38">
        <f>280*1.07*1.12</f>
        <v>335.55200000000008</v>
      </c>
      <c r="H36" s="36">
        <f t="shared" si="0"/>
        <v>16777.600000000002</v>
      </c>
      <c r="I36" s="36">
        <f t="shared" si="1"/>
        <v>16777.600000000002</v>
      </c>
      <c r="J36" s="37" t="s">
        <v>151</v>
      </c>
      <c r="L36" s="18">
        <f t="shared" si="2"/>
        <v>0</v>
      </c>
    </row>
    <row r="37" spans="1:12" s="17" customFormat="1" ht="60.75" customHeight="1" x14ac:dyDescent="0.2">
      <c r="A37" s="39">
        <v>27</v>
      </c>
      <c r="B37" s="26" t="s">
        <v>48</v>
      </c>
      <c r="C37" s="14" t="s">
        <v>2</v>
      </c>
      <c r="D37" s="26" t="s">
        <v>186</v>
      </c>
      <c r="E37" s="35" t="s">
        <v>66</v>
      </c>
      <c r="F37" s="35">
        <v>10</v>
      </c>
      <c r="G37" s="38">
        <f>4499*1.07</f>
        <v>4813.93</v>
      </c>
      <c r="H37" s="36">
        <f t="shared" si="0"/>
        <v>48139.3</v>
      </c>
      <c r="I37" s="36">
        <f t="shared" si="1"/>
        <v>48139.3</v>
      </c>
      <c r="J37" s="37" t="s">
        <v>151</v>
      </c>
      <c r="L37" s="18">
        <f t="shared" si="2"/>
        <v>0</v>
      </c>
    </row>
    <row r="38" spans="1:12" s="17" customFormat="1" ht="60.75" customHeight="1" x14ac:dyDescent="0.2">
      <c r="A38" s="39">
        <v>28</v>
      </c>
      <c r="B38" s="26" t="s">
        <v>49</v>
      </c>
      <c r="C38" s="14" t="s">
        <v>2</v>
      </c>
      <c r="D38" s="26" t="s">
        <v>187</v>
      </c>
      <c r="E38" s="35" t="s">
        <v>66</v>
      </c>
      <c r="F38" s="35">
        <v>6</v>
      </c>
      <c r="G38" s="38">
        <f>(1787.65+2301.48)*6*1.12</f>
        <v>27478.953600000001</v>
      </c>
      <c r="H38" s="36">
        <f t="shared" si="0"/>
        <v>164873.72159999999</v>
      </c>
      <c r="I38" s="36">
        <f t="shared" si="1"/>
        <v>164873.72159999999</v>
      </c>
      <c r="J38" s="37" t="s">
        <v>151</v>
      </c>
      <c r="L38" s="18">
        <f t="shared" si="2"/>
        <v>0</v>
      </c>
    </row>
    <row r="39" spans="1:12" s="17" customFormat="1" ht="60.75" customHeight="1" x14ac:dyDescent="0.2">
      <c r="A39" s="39">
        <v>29</v>
      </c>
      <c r="B39" s="26" t="s">
        <v>50</v>
      </c>
      <c r="C39" s="14" t="s">
        <v>2</v>
      </c>
      <c r="D39" s="26" t="s">
        <v>188</v>
      </c>
      <c r="E39" s="35" t="s">
        <v>66</v>
      </c>
      <c r="F39" s="35">
        <v>5</v>
      </c>
      <c r="G39" s="38">
        <f>850*1.07</f>
        <v>909.5</v>
      </c>
      <c r="H39" s="36">
        <f t="shared" si="0"/>
        <v>4547.5</v>
      </c>
      <c r="I39" s="36">
        <f t="shared" si="1"/>
        <v>4547.5</v>
      </c>
      <c r="J39" s="37" t="s">
        <v>151</v>
      </c>
      <c r="L39" s="18">
        <f t="shared" si="2"/>
        <v>0</v>
      </c>
    </row>
    <row r="40" spans="1:12" s="17" customFormat="1" ht="60.75" customHeight="1" x14ac:dyDescent="0.2">
      <c r="A40" s="39">
        <v>30</v>
      </c>
      <c r="B40" s="26" t="s">
        <v>51</v>
      </c>
      <c r="C40" s="14" t="s">
        <v>2</v>
      </c>
      <c r="D40" s="26" t="s">
        <v>189</v>
      </c>
      <c r="E40" s="35" t="s">
        <v>66</v>
      </c>
      <c r="F40" s="35">
        <v>15</v>
      </c>
      <c r="G40" s="38">
        <f>310*1.07</f>
        <v>331.70000000000005</v>
      </c>
      <c r="H40" s="36">
        <f t="shared" si="0"/>
        <v>4975.5000000000009</v>
      </c>
      <c r="I40" s="36">
        <f t="shared" si="1"/>
        <v>4975.5000000000009</v>
      </c>
      <c r="J40" s="37" t="s">
        <v>151</v>
      </c>
      <c r="L40" s="18">
        <f t="shared" si="2"/>
        <v>0</v>
      </c>
    </row>
    <row r="41" spans="1:12" s="17" customFormat="1" ht="60.75" customHeight="1" x14ac:dyDescent="0.2">
      <c r="A41" s="39">
        <v>31</v>
      </c>
      <c r="B41" s="26" t="s">
        <v>52</v>
      </c>
      <c r="C41" s="14" t="s">
        <v>2</v>
      </c>
      <c r="D41" s="26" t="s">
        <v>190</v>
      </c>
      <c r="E41" s="35" t="s">
        <v>66</v>
      </c>
      <c r="F41" s="35">
        <v>50</v>
      </c>
      <c r="G41" s="38">
        <f>143*1.07*1.12</f>
        <v>171.37120000000004</v>
      </c>
      <c r="H41" s="36">
        <f t="shared" si="0"/>
        <v>8568.5600000000013</v>
      </c>
      <c r="I41" s="36">
        <f t="shared" si="1"/>
        <v>8568.5600000000013</v>
      </c>
      <c r="J41" s="37" t="s">
        <v>151</v>
      </c>
      <c r="L41" s="18">
        <f t="shared" si="2"/>
        <v>0</v>
      </c>
    </row>
    <row r="42" spans="1:12" s="17" customFormat="1" ht="60.75" customHeight="1" x14ac:dyDescent="0.2">
      <c r="A42" s="39">
        <v>32</v>
      </c>
      <c r="B42" s="26" t="s">
        <v>53</v>
      </c>
      <c r="C42" s="14" t="s">
        <v>2</v>
      </c>
      <c r="D42" s="26" t="s">
        <v>191</v>
      </c>
      <c r="E42" s="35" t="s">
        <v>66</v>
      </c>
      <c r="F42" s="35">
        <v>40</v>
      </c>
      <c r="G42" s="38">
        <f>1400*1.07</f>
        <v>1498</v>
      </c>
      <c r="H42" s="36">
        <f t="shared" si="0"/>
        <v>59920</v>
      </c>
      <c r="I42" s="36">
        <f t="shared" si="1"/>
        <v>59920</v>
      </c>
      <c r="J42" s="37" t="s">
        <v>151</v>
      </c>
      <c r="L42" s="18">
        <f t="shared" si="2"/>
        <v>0</v>
      </c>
    </row>
    <row r="43" spans="1:12" s="17" customFormat="1" ht="60.75" customHeight="1" x14ac:dyDescent="0.2">
      <c r="A43" s="39">
        <v>33</v>
      </c>
      <c r="B43" s="26" t="s">
        <v>54</v>
      </c>
      <c r="C43" s="14" t="s">
        <v>2</v>
      </c>
      <c r="D43" s="26" t="s">
        <v>192</v>
      </c>
      <c r="E43" s="35" t="s">
        <v>66</v>
      </c>
      <c r="F43" s="35">
        <v>10</v>
      </c>
      <c r="G43" s="38">
        <f>1750*1.07</f>
        <v>1872.5</v>
      </c>
      <c r="H43" s="36">
        <f t="shared" si="0"/>
        <v>18725</v>
      </c>
      <c r="I43" s="36">
        <f t="shared" si="1"/>
        <v>18725</v>
      </c>
      <c r="J43" s="37" t="s">
        <v>151</v>
      </c>
      <c r="L43" s="18">
        <f t="shared" si="2"/>
        <v>0</v>
      </c>
    </row>
    <row r="44" spans="1:12" s="17" customFormat="1" ht="60.75" customHeight="1" x14ac:dyDescent="0.2">
      <c r="A44" s="39">
        <v>34</v>
      </c>
      <c r="B44" s="26" t="s">
        <v>55</v>
      </c>
      <c r="C44" s="14" t="s">
        <v>2</v>
      </c>
      <c r="D44" s="26" t="s">
        <v>193</v>
      </c>
      <c r="E44" s="35" t="s">
        <v>66</v>
      </c>
      <c r="F44" s="35">
        <f>10</f>
        <v>10</v>
      </c>
      <c r="G44" s="38">
        <f>825*1.07</f>
        <v>882.75</v>
      </c>
      <c r="H44" s="36">
        <f t="shared" si="0"/>
        <v>8827.5</v>
      </c>
      <c r="I44" s="36">
        <f t="shared" si="1"/>
        <v>8827.5</v>
      </c>
      <c r="J44" s="37" t="s">
        <v>151</v>
      </c>
      <c r="L44" s="18">
        <f t="shared" si="2"/>
        <v>0</v>
      </c>
    </row>
    <row r="45" spans="1:12" s="17" customFormat="1" ht="60.75" customHeight="1" x14ac:dyDescent="0.2">
      <c r="A45" s="39">
        <v>35</v>
      </c>
      <c r="B45" s="26" t="s">
        <v>56</v>
      </c>
      <c r="C45" s="14" t="s">
        <v>2</v>
      </c>
      <c r="D45" s="26" t="s">
        <v>194</v>
      </c>
      <c r="E45" s="35" t="s">
        <v>66</v>
      </c>
      <c r="F45" s="35">
        <v>20</v>
      </c>
      <c r="G45" s="38">
        <f>427*1.07</f>
        <v>456.89000000000004</v>
      </c>
      <c r="H45" s="36">
        <f t="shared" si="0"/>
        <v>9137.8000000000011</v>
      </c>
      <c r="I45" s="36">
        <f t="shared" si="1"/>
        <v>9137.8000000000011</v>
      </c>
      <c r="J45" s="37" t="s">
        <v>151</v>
      </c>
      <c r="L45" s="18">
        <f t="shared" si="2"/>
        <v>0</v>
      </c>
    </row>
    <row r="46" spans="1:12" s="17" customFormat="1" ht="60.75" customHeight="1" x14ac:dyDescent="0.2">
      <c r="A46" s="39">
        <v>36</v>
      </c>
      <c r="B46" s="26" t="s">
        <v>57</v>
      </c>
      <c r="C46" s="14" t="s">
        <v>2</v>
      </c>
      <c r="D46" s="26" t="s">
        <v>195</v>
      </c>
      <c r="E46" s="35" t="s">
        <v>66</v>
      </c>
      <c r="F46" s="35">
        <v>200</v>
      </c>
      <c r="G46" s="38">
        <f>3119/100*1.07</f>
        <v>33.3733</v>
      </c>
      <c r="H46" s="36">
        <f t="shared" si="0"/>
        <v>6674.66</v>
      </c>
      <c r="I46" s="36">
        <f t="shared" si="1"/>
        <v>6674.66</v>
      </c>
      <c r="J46" s="37" t="s">
        <v>151</v>
      </c>
      <c r="L46" s="18">
        <f t="shared" si="2"/>
        <v>0</v>
      </c>
    </row>
    <row r="47" spans="1:12" s="17" customFormat="1" ht="60.75" customHeight="1" x14ac:dyDescent="0.2">
      <c r="A47" s="39">
        <v>37</v>
      </c>
      <c r="B47" s="26" t="s">
        <v>58</v>
      </c>
      <c r="C47" s="14" t="s">
        <v>2</v>
      </c>
      <c r="D47" s="26" t="s">
        <v>196</v>
      </c>
      <c r="E47" s="35" t="s">
        <v>66</v>
      </c>
      <c r="F47" s="35">
        <v>200</v>
      </c>
      <c r="G47" s="38">
        <f>25*1.07</f>
        <v>26.75</v>
      </c>
      <c r="H47" s="36">
        <f t="shared" si="0"/>
        <v>5350</v>
      </c>
      <c r="I47" s="36">
        <f t="shared" si="1"/>
        <v>5350</v>
      </c>
      <c r="J47" s="37" t="s">
        <v>151</v>
      </c>
      <c r="L47" s="18">
        <f t="shared" si="2"/>
        <v>0</v>
      </c>
    </row>
    <row r="48" spans="1:12" s="17" customFormat="1" ht="60.75" customHeight="1" x14ac:dyDescent="0.2">
      <c r="A48" s="39">
        <v>38</v>
      </c>
      <c r="B48" s="26" t="s">
        <v>59</v>
      </c>
      <c r="C48" s="14" t="s">
        <v>2</v>
      </c>
      <c r="D48" s="26" t="s">
        <v>197</v>
      </c>
      <c r="E48" s="35" t="s">
        <v>66</v>
      </c>
      <c r="F48" s="35">
        <v>200</v>
      </c>
      <c r="G48" s="38">
        <f>20*1.07</f>
        <v>21.400000000000002</v>
      </c>
      <c r="H48" s="36">
        <f t="shared" si="0"/>
        <v>4280</v>
      </c>
      <c r="I48" s="36">
        <f t="shared" si="1"/>
        <v>4280</v>
      </c>
      <c r="J48" s="37" t="s">
        <v>151</v>
      </c>
      <c r="L48" s="18">
        <f t="shared" si="2"/>
        <v>0</v>
      </c>
    </row>
    <row r="49" spans="1:12" s="17" customFormat="1" ht="60.75" customHeight="1" x14ac:dyDescent="0.2">
      <c r="A49" s="39">
        <v>39</v>
      </c>
      <c r="B49" s="26" t="s">
        <v>299</v>
      </c>
      <c r="C49" s="14" t="s">
        <v>2</v>
      </c>
      <c r="D49" s="26" t="s">
        <v>300</v>
      </c>
      <c r="E49" s="35" t="s">
        <v>66</v>
      </c>
      <c r="F49" s="35">
        <v>2</v>
      </c>
      <c r="G49" s="38">
        <f>5990*1.07</f>
        <v>6409.3</v>
      </c>
      <c r="H49" s="36">
        <f t="shared" si="0"/>
        <v>12818.6</v>
      </c>
      <c r="I49" s="36">
        <f t="shared" si="1"/>
        <v>12818.6</v>
      </c>
      <c r="J49" s="37" t="s">
        <v>151</v>
      </c>
      <c r="L49" s="18">
        <f t="shared" si="2"/>
        <v>0</v>
      </c>
    </row>
    <row r="50" spans="1:12" s="17" customFormat="1" ht="60.75" customHeight="1" x14ac:dyDescent="0.2">
      <c r="A50" s="39">
        <v>40</v>
      </c>
      <c r="B50" s="26" t="s">
        <v>301</v>
      </c>
      <c r="C50" s="14" t="s">
        <v>2</v>
      </c>
      <c r="D50" s="26" t="s">
        <v>198</v>
      </c>
      <c r="E50" s="35" t="s">
        <v>66</v>
      </c>
      <c r="F50" s="35">
        <v>2</v>
      </c>
      <c r="G50" s="38">
        <f>3800*1.07</f>
        <v>4066.0000000000005</v>
      </c>
      <c r="H50" s="36">
        <f t="shared" si="0"/>
        <v>8132.0000000000009</v>
      </c>
      <c r="I50" s="36">
        <f t="shared" si="1"/>
        <v>8132.0000000000009</v>
      </c>
      <c r="J50" s="37" t="s">
        <v>151</v>
      </c>
      <c r="L50" s="18">
        <f t="shared" si="2"/>
        <v>0</v>
      </c>
    </row>
    <row r="51" spans="1:12" s="17" customFormat="1" ht="60.75" customHeight="1" x14ac:dyDescent="0.2">
      <c r="A51" s="39">
        <v>41</v>
      </c>
      <c r="B51" s="26" t="s">
        <v>301</v>
      </c>
      <c r="C51" s="14" t="s">
        <v>2</v>
      </c>
      <c r="D51" s="26" t="s">
        <v>199</v>
      </c>
      <c r="E51" s="35" t="s">
        <v>66</v>
      </c>
      <c r="F51" s="35">
        <v>1</v>
      </c>
      <c r="G51" s="38">
        <f>3500*1.07</f>
        <v>3745</v>
      </c>
      <c r="H51" s="36">
        <f t="shared" si="0"/>
        <v>3745</v>
      </c>
      <c r="I51" s="36">
        <f t="shared" si="1"/>
        <v>3745</v>
      </c>
      <c r="J51" s="37" t="s">
        <v>151</v>
      </c>
      <c r="L51" s="18">
        <f t="shared" si="2"/>
        <v>0</v>
      </c>
    </row>
    <row r="52" spans="1:12" s="17" customFormat="1" ht="60.75" customHeight="1" x14ac:dyDescent="0.2">
      <c r="A52" s="39">
        <v>42</v>
      </c>
      <c r="B52" s="26" t="s">
        <v>60</v>
      </c>
      <c r="C52" s="14" t="s">
        <v>2</v>
      </c>
      <c r="D52" s="26" t="s">
        <v>200</v>
      </c>
      <c r="E52" s="35" t="s">
        <v>66</v>
      </c>
      <c r="F52" s="35">
        <v>1</v>
      </c>
      <c r="G52" s="38">
        <f>2360*1.07</f>
        <v>2525.2000000000003</v>
      </c>
      <c r="H52" s="36">
        <f t="shared" si="0"/>
        <v>2525.2000000000003</v>
      </c>
      <c r="I52" s="36">
        <f t="shared" si="1"/>
        <v>2525.2000000000003</v>
      </c>
      <c r="J52" s="37" t="s">
        <v>151</v>
      </c>
      <c r="L52" s="18">
        <f t="shared" si="2"/>
        <v>0</v>
      </c>
    </row>
    <row r="53" spans="1:12" s="17" customFormat="1" ht="60.75" customHeight="1" x14ac:dyDescent="0.2">
      <c r="A53" s="39">
        <v>43</v>
      </c>
      <c r="B53" s="26" t="s">
        <v>60</v>
      </c>
      <c r="C53" s="14" t="s">
        <v>2</v>
      </c>
      <c r="D53" s="26" t="s">
        <v>200</v>
      </c>
      <c r="E53" s="35" t="s">
        <v>66</v>
      </c>
      <c r="F53" s="35">
        <v>1</v>
      </c>
      <c r="G53" s="38">
        <f>1910*1.07</f>
        <v>2043.7</v>
      </c>
      <c r="H53" s="36">
        <f t="shared" si="0"/>
        <v>2043.7</v>
      </c>
      <c r="I53" s="36">
        <f t="shared" si="1"/>
        <v>2043.7</v>
      </c>
      <c r="J53" s="37" t="s">
        <v>151</v>
      </c>
      <c r="L53" s="18">
        <f t="shared" si="2"/>
        <v>0</v>
      </c>
    </row>
    <row r="54" spans="1:12" s="17" customFormat="1" ht="60.75" customHeight="1" x14ac:dyDescent="0.2">
      <c r="A54" s="39">
        <v>44</v>
      </c>
      <c r="B54" s="26" t="s">
        <v>61</v>
      </c>
      <c r="C54" s="14" t="s">
        <v>2</v>
      </c>
      <c r="D54" s="26" t="s">
        <v>201</v>
      </c>
      <c r="E54" s="35" t="s">
        <v>68</v>
      </c>
      <c r="F54" s="35">
        <v>20</v>
      </c>
      <c r="G54" s="38">
        <f>1335*1.07</f>
        <v>1428.45</v>
      </c>
      <c r="H54" s="36">
        <f t="shared" si="0"/>
        <v>28569</v>
      </c>
      <c r="I54" s="36">
        <f t="shared" si="1"/>
        <v>28569</v>
      </c>
      <c r="J54" s="37" t="s">
        <v>151</v>
      </c>
      <c r="L54" s="18">
        <f t="shared" si="2"/>
        <v>0</v>
      </c>
    </row>
    <row r="55" spans="1:12" s="17" customFormat="1" ht="60.75" customHeight="1" x14ac:dyDescent="0.2">
      <c r="A55" s="39">
        <v>45</v>
      </c>
      <c r="B55" s="26" t="s">
        <v>62</v>
      </c>
      <c r="C55" s="14" t="s">
        <v>2</v>
      </c>
      <c r="D55" s="26" t="s">
        <v>202</v>
      </c>
      <c r="E55" s="35" t="s">
        <v>66</v>
      </c>
      <c r="F55" s="35">
        <v>200</v>
      </c>
      <c r="G55" s="38">
        <f>49*1.07</f>
        <v>52.43</v>
      </c>
      <c r="H55" s="36">
        <f t="shared" si="0"/>
        <v>10486</v>
      </c>
      <c r="I55" s="36">
        <f t="shared" si="1"/>
        <v>10486</v>
      </c>
      <c r="J55" s="37" t="s">
        <v>151</v>
      </c>
      <c r="L55" s="18">
        <f t="shared" si="2"/>
        <v>0</v>
      </c>
    </row>
    <row r="56" spans="1:12" s="17" customFormat="1" ht="60.75" customHeight="1" x14ac:dyDescent="0.2">
      <c r="A56" s="39">
        <v>46</v>
      </c>
      <c r="B56" s="26" t="s">
        <v>63</v>
      </c>
      <c r="C56" s="14" t="s">
        <v>2</v>
      </c>
      <c r="D56" s="26" t="s">
        <v>203</v>
      </c>
      <c r="E56" s="35" t="s">
        <v>66</v>
      </c>
      <c r="F56" s="35">
        <v>200</v>
      </c>
      <c r="G56" s="38">
        <f>35*1.07</f>
        <v>37.450000000000003</v>
      </c>
      <c r="H56" s="36">
        <f t="shared" si="0"/>
        <v>7490.0000000000009</v>
      </c>
      <c r="I56" s="36">
        <f t="shared" si="1"/>
        <v>7490.0000000000009</v>
      </c>
      <c r="J56" s="37" t="s">
        <v>151</v>
      </c>
      <c r="L56" s="18">
        <f t="shared" si="2"/>
        <v>0</v>
      </c>
    </row>
    <row r="57" spans="1:12" s="17" customFormat="1" ht="60.75" customHeight="1" x14ac:dyDescent="0.2">
      <c r="A57" s="39">
        <v>47</v>
      </c>
      <c r="B57" s="26" t="s">
        <v>64</v>
      </c>
      <c r="C57" s="14" t="s">
        <v>2</v>
      </c>
      <c r="D57" s="26" t="s">
        <v>204</v>
      </c>
      <c r="E57" s="35" t="s">
        <v>66</v>
      </c>
      <c r="F57" s="35">
        <v>200</v>
      </c>
      <c r="G57" s="38">
        <f>50*1.07</f>
        <v>53.5</v>
      </c>
      <c r="H57" s="36">
        <f t="shared" si="0"/>
        <v>10700</v>
      </c>
      <c r="I57" s="36">
        <f t="shared" si="1"/>
        <v>10700</v>
      </c>
      <c r="J57" s="37" t="s">
        <v>151</v>
      </c>
      <c r="L57" s="18">
        <f t="shared" si="2"/>
        <v>0</v>
      </c>
    </row>
    <row r="58" spans="1:12" s="17" customFormat="1" ht="60.75" customHeight="1" x14ac:dyDescent="0.2">
      <c r="A58" s="39">
        <v>48</v>
      </c>
      <c r="B58" s="26" t="s">
        <v>65</v>
      </c>
      <c r="C58" s="14" t="s">
        <v>2</v>
      </c>
      <c r="D58" s="26" t="s">
        <v>205</v>
      </c>
      <c r="E58" s="35" t="s">
        <v>66</v>
      </c>
      <c r="F58" s="35">
        <v>600</v>
      </c>
      <c r="G58" s="38">
        <f>156/12*1.07</f>
        <v>13.91</v>
      </c>
      <c r="H58" s="36">
        <f t="shared" si="0"/>
        <v>8346</v>
      </c>
      <c r="I58" s="36">
        <f t="shared" si="1"/>
        <v>8346</v>
      </c>
      <c r="J58" s="37" t="s">
        <v>151</v>
      </c>
      <c r="L58" s="18">
        <f t="shared" si="2"/>
        <v>0</v>
      </c>
    </row>
    <row r="59" spans="1:12" s="17" customFormat="1" ht="60.75" customHeight="1" x14ac:dyDescent="0.2">
      <c r="A59" s="39">
        <v>49</v>
      </c>
      <c r="B59" s="26" t="s">
        <v>154</v>
      </c>
      <c r="C59" s="14" t="s">
        <v>2</v>
      </c>
      <c r="D59" s="26" t="s">
        <v>206</v>
      </c>
      <c r="E59" s="35" t="s">
        <v>66</v>
      </c>
      <c r="F59" s="35">
        <f>H59/G59</f>
        <v>122.98136645962732</v>
      </c>
      <c r="G59" s="38">
        <f>805*1.07</f>
        <v>861.35</v>
      </c>
      <c r="H59" s="36">
        <v>105930</v>
      </c>
      <c r="I59" s="36">
        <f>H59</f>
        <v>105930</v>
      </c>
      <c r="J59" s="37" t="s">
        <v>151</v>
      </c>
      <c r="L59" s="18">
        <f t="shared" si="2"/>
        <v>0</v>
      </c>
    </row>
    <row r="60" spans="1:12" s="17" customFormat="1" ht="60.75" customHeight="1" x14ac:dyDescent="0.2">
      <c r="A60" s="39">
        <v>50</v>
      </c>
      <c r="B60" s="26" t="s">
        <v>302</v>
      </c>
      <c r="C60" s="14" t="s">
        <v>2</v>
      </c>
      <c r="D60" s="26" t="s">
        <v>303</v>
      </c>
      <c r="E60" s="35" t="s">
        <v>66</v>
      </c>
      <c r="F60" s="35">
        <v>34</v>
      </c>
      <c r="G60" s="38">
        <f>6290*1.07</f>
        <v>6730.3</v>
      </c>
      <c r="H60" s="36">
        <f t="shared" ref="H60:H80" si="3">F60*G60</f>
        <v>228830.2</v>
      </c>
      <c r="I60" s="36">
        <f t="shared" si="1"/>
        <v>228830.2</v>
      </c>
      <c r="J60" s="37" t="s">
        <v>151</v>
      </c>
      <c r="L60" s="18">
        <f t="shared" si="2"/>
        <v>0</v>
      </c>
    </row>
    <row r="61" spans="1:12" s="17" customFormat="1" ht="60.75" customHeight="1" x14ac:dyDescent="0.2">
      <c r="A61" s="39">
        <v>51</v>
      </c>
      <c r="B61" s="26" t="s">
        <v>70</v>
      </c>
      <c r="C61" s="14" t="s">
        <v>2</v>
      </c>
      <c r="D61" s="26" t="s">
        <v>207</v>
      </c>
      <c r="E61" s="35" t="s">
        <v>72</v>
      </c>
      <c r="F61" s="35">
        <v>34</v>
      </c>
      <c r="G61" s="38">
        <f>8990*1.07</f>
        <v>9619.3000000000011</v>
      </c>
      <c r="H61" s="36">
        <f t="shared" si="3"/>
        <v>327056.2</v>
      </c>
      <c r="I61" s="36">
        <f t="shared" si="1"/>
        <v>327056.2</v>
      </c>
      <c r="J61" s="37" t="s">
        <v>151</v>
      </c>
      <c r="L61" s="18">
        <f t="shared" si="2"/>
        <v>0</v>
      </c>
    </row>
    <row r="62" spans="1:12" s="17" customFormat="1" ht="60.75" customHeight="1" x14ac:dyDescent="0.2">
      <c r="A62" s="39">
        <v>52</v>
      </c>
      <c r="B62" s="26" t="s">
        <v>304</v>
      </c>
      <c r="C62" s="14" t="s">
        <v>2</v>
      </c>
      <c r="D62" s="26" t="s">
        <v>305</v>
      </c>
      <c r="E62" s="35" t="s">
        <v>66</v>
      </c>
      <c r="F62" s="35">
        <v>40</v>
      </c>
      <c r="G62" s="38">
        <f>6990*1.07</f>
        <v>7479.3</v>
      </c>
      <c r="H62" s="36">
        <f t="shared" si="3"/>
        <v>299172</v>
      </c>
      <c r="I62" s="36">
        <f t="shared" si="1"/>
        <v>299172</v>
      </c>
      <c r="J62" s="37" t="s">
        <v>151</v>
      </c>
      <c r="L62" s="18">
        <f t="shared" si="2"/>
        <v>0</v>
      </c>
    </row>
    <row r="63" spans="1:12" s="17" customFormat="1" ht="60.75" customHeight="1" x14ac:dyDescent="0.2">
      <c r="A63" s="39">
        <v>53</v>
      </c>
      <c r="B63" s="26" t="s">
        <v>306</v>
      </c>
      <c r="C63" s="14" t="s">
        <v>2</v>
      </c>
      <c r="D63" s="26" t="s">
        <v>308</v>
      </c>
      <c r="E63" s="35" t="s">
        <v>66</v>
      </c>
      <c r="F63" s="35">
        <v>120</v>
      </c>
      <c r="G63" s="38">
        <f>6490*1.07</f>
        <v>6944.3</v>
      </c>
      <c r="H63" s="36">
        <f t="shared" si="3"/>
        <v>833316</v>
      </c>
      <c r="I63" s="36">
        <f t="shared" si="1"/>
        <v>833316</v>
      </c>
      <c r="J63" s="37" t="s">
        <v>151</v>
      </c>
      <c r="L63" s="18">
        <f t="shared" si="2"/>
        <v>0</v>
      </c>
    </row>
    <row r="64" spans="1:12" s="17" customFormat="1" ht="60.75" customHeight="1" x14ac:dyDescent="0.2">
      <c r="A64" s="39">
        <v>54</v>
      </c>
      <c r="B64" s="26" t="s">
        <v>307</v>
      </c>
      <c r="C64" s="14" t="s">
        <v>2</v>
      </c>
      <c r="D64" s="26" t="s">
        <v>309</v>
      </c>
      <c r="E64" s="35" t="s">
        <v>66</v>
      </c>
      <c r="F64" s="35">
        <v>4</v>
      </c>
      <c r="G64" s="38">
        <f>24300*1.07</f>
        <v>26001</v>
      </c>
      <c r="H64" s="36">
        <f t="shared" si="3"/>
        <v>104004</v>
      </c>
      <c r="I64" s="36">
        <f t="shared" si="1"/>
        <v>104004</v>
      </c>
      <c r="J64" s="37" t="s">
        <v>151</v>
      </c>
      <c r="L64" s="18">
        <f t="shared" si="2"/>
        <v>0</v>
      </c>
    </row>
    <row r="65" spans="1:12" s="17" customFormat="1" ht="63.75" customHeight="1" x14ac:dyDescent="0.2">
      <c r="A65" s="39">
        <v>55</v>
      </c>
      <c r="B65" s="26" t="s">
        <v>310</v>
      </c>
      <c r="C65" s="14" t="s">
        <v>2</v>
      </c>
      <c r="D65" s="26" t="s">
        <v>313</v>
      </c>
      <c r="E65" s="35" t="s">
        <v>66</v>
      </c>
      <c r="F65" s="35">
        <v>4</v>
      </c>
      <c r="G65" s="38">
        <f>32500*1.07</f>
        <v>34775</v>
      </c>
      <c r="H65" s="36">
        <f t="shared" si="3"/>
        <v>139100</v>
      </c>
      <c r="I65" s="36">
        <f t="shared" si="1"/>
        <v>139100</v>
      </c>
      <c r="J65" s="37" t="s">
        <v>151</v>
      </c>
      <c r="L65" s="18">
        <f t="shared" si="2"/>
        <v>0</v>
      </c>
    </row>
    <row r="66" spans="1:12" s="17" customFormat="1" ht="65.25" customHeight="1" x14ac:dyDescent="0.2">
      <c r="A66" s="39">
        <v>56</v>
      </c>
      <c r="B66" s="26" t="s">
        <v>311</v>
      </c>
      <c r="C66" s="14" t="s">
        <v>2</v>
      </c>
      <c r="D66" s="26" t="s">
        <v>314</v>
      </c>
      <c r="E66" s="35" t="s">
        <v>66</v>
      </c>
      <c r="F66" s="35">
        <v>4</v>
      </c>
      <c r="G66" s="38">
        <f>34900*1.07</f>
        <v>37343</v>
      </c>
      <c r="H66" s="36">
        <f t="shared" si="3"/>
        <v>149372</v>
      </c>
      <c r="I66" s="36">
        <f t="shared" si="1"/>
        <v>149372</v>
      </c>
      <c r="J66" s="37" t="s">
        <v>151</v>
      </c>
      <c r="L66" s="18">
        <f t="shared" si="2"/>
        <v>0</v>
      </c>
    </row>
    <row r="67" spans="1:12" s="17" customFormat="1" ht="66" customHeight="1" x14ac:dyDescent="0.2">
      <c r="A67" s="39">
        <v>57</v>
      </c>
      <c r="B67" s="26" t="s">
        <v>312</v>
      </c>
      <c r="C67" s="14" t="s">
        <v>2</v>
      </c>
      <c r="D67" s="26" t="s">
        <v>315</v>
      </c>
      <c r="E67" s="35" t="s">
        <v>66</v>
      </c>
      <c r="F67" s="35">
        <v>4</v>
      </c>
      <c r="G67" s="38">
        <f>34900*1.07</f>
        <v>37343</v>
      </c>
      <c r="H67" s="36">
        <f t="shared" si="3"/>
        <v>149372</v>
      </c>
      <c r="I67" s="36">
        <f t="shared" si="1"/>
        <v>149372</v>
      </c>
      <c r="J67" s="37" t="s">
        <v>151</v>
      </c>
      <c r="L67" s="18">
        <f t="shared" si="2"/>
        <v>0</v>
      </c>
    </row>
    <row r="68" spans="1:12" s="17" customFormat="1" ht="60.75" customHeight="1" x14ac:dyDescent="0.2">
      <c r="A68" s="39">
        <v>58</v>
      </c>
      <c r="B68" s="26" t="s">
        <v>318</v>
      </c>
      <c r="C68" s="14" t="s">
        <v>2</v>
      </c>
      <c r="D68" s="26" t="s">
        <v>319</v>
      </c>
      <c r="E68" s="35" t="s">
        <v>66</v>
      </c>
      <c r="F68" s="35">
        <v>30</v>
      </c>
      <c r="G68" s="38">
        <f>4990*1.07</f>
        <v>5339.3</v>
      </c>
      <c r="H68" s="36">
        <f t="shared" si="3"/>
        <v>160179</v>
      </c>
      <c r="I68" s="36">
        <f t="shared" si="1"/>
        <v>160179</v>
      </c>
      <c r="J68" s="37" t="s">
        <v>151</v>
      </c>
      <c r="L68" s="18">
        <f t="shared" si="2"/>
        <v>0</v>
      </c>
    </row>
    <row r="69" spans="1:12" s="17" customFormat="1" ht="60.75" customHeight="1" x14ac:dyDescent="0.2">
      <c r="A69" s="39">
        <v>59</v>
      </c>
      <c r="B69" s="26" t="s">
        <v>316</v>
      </c>
      <c r="C69" s="14" t="s">
        <v>2</v>
      </c>
      <c r="D69" s="26" t="s">
        <v>320</v>
      </c>
      <c r="E69" s="35" t="s">
        <v>66</v>
      </c>
      <c r="F69" s="35">
        <v>5</v>
      </c>
      <c r="G69" s="38">
        <f>8990*1.07</f>
        <v>9619.3000000000011</v>
      </c>
      <c r="H69" s="36">
        <f t="shared" si="3"/>
        <v>48096.500000000007</v>
      </c>
      <c r="I69" s="36">
        <f t="shared" si="1"/>
        <v>48096.500000000007</v>
      </c>
      <c r="J69" s="37" t="s">
        <v>151</v>
      </c>
      <c r="L69" s="18">
        <f t="shared" si="2"/>
        <v>0</v>
      </c>
    </row>
    <row r="70" spans="1:12" s="17" customFormat="1" ht="48.75" customHeight="1" x14ac:dyDescent="0.2">
      <c r="A70" s="39">
        <v>60</v>
      </c>
      <c r="B70" s="26" t="s">
        <v>317</v>
      </c>
      <c r="C70" s="14" t="s">
        <v>2</v>
      </c>
      <c r="D70" s="26" t="s">
        <v>321</v>
      </c>
      <c r="E70" s="35" t="s">
        <v>66</v>
      </c>
      <c r="F70" s="35">
        <v>5</v>
      </c>
      <c r="G70" s="38">
        <f>5790*1.07</f>
        <v>6195.3</v>
      </c>
      <c r="H70" s="36">
        <f t="shared" si="3"/>
        <v>30976.5</v>
      </c>
      <c r="I70" s="36">
        <f t="shared" si="1"/>
        <v>30976.5</v>
      </c>
      <c r="J70" s="37" t="s">
        <v>151</v>
      </c>
      <c r="L70" s="18">
        <f t="shared" si="2"/>
        <v>0</v>
      </c>
    </row>
    <row r="71" spans="1:12" s="17" customFormat="1" ht="50.25" customHeight="1" x14ac:dyDescent="0.2">
      <c r="A71" s="39">
        <v>61</v>
      </c>
      <c r="B71" s="26" t="s">
        <v>155</v>
      </c>
      <c r="C71" s="14" t="s">
        <v>2</v>
      </c>
      <c r="D71" s="26" t="s">
        <v>208</v>
      </c>
      <c r="E71" s="35" t="s">
        <v>66</v>
      </c>
      <c r="F71" s="35">
        <v>40</v>
      </c>
      <c r="G71" s="38">
        <f>3190*1.07</f>
        <v>3413.3</v>
      </c>
      <c r="H71" s="36">
        <f t="shared" si="3"/>
        <v>136532</v>
      </c>
      <c r="I71" s="36">
        <f t="shared" si="1"/>
        <v>136532</v>
      </c>
      <c r="J71" s="37" t="s">
        <v>151</v>
      </c>
      <c r="L71" s="18">
        <f t="shared" si="2"/>
        <v>0</v>
      </c>
    </row>
    <row r="72" spans="1:12" s="17" customFormat="1" ht="51" customHeight="1" x14ac:dyDescent="0.2">
      <c r="A72" s="39">
        <v>62</v>
      </c>
      <c r="B72" s="26" t="s">
        <v>71</v>
      </c>
      <c r="C72" s="14" t="s">
        <v>2</v>
      </c>
      <c r="D72" s="26" t="s">
        <v>209</v>
      </c>
      <c r="E72" s="35" t="s">
        <v>66</v>
      </c>
      <c r="F72" s="35">
        <v>40</v>
      </c>
      <c r="G72" s="38">
        <f>2690*1.07</f>
        <v>2878.3</v>
      </c>
      <c r="H72" s="36">
        <f t="shared" si="3"/>
        <v>115132</v>
      </c>
      <c r="I72" s="36">
        <f t="shared" si="1"/>
        <v>115132</v>
      </c>
      <c r="J72" s="37" t="s">
        <v>151</v>
      </c>
      <c r="L72" s="18">
        <f t="shared" si="2"/>
        <v>0</v>
      </c>
    </row>
    <row r="73" spans="1:12" s="17" customFormat="1" ht="55.5" customHeight="1" x14ac:dyDescent="0.2">
      <c r="A73" s="39">
        <v>63</v>
      </c>
      <c r="B73" s="26" t="s">
        <v>322</v>
      </c>
      <c r="C73" s="14" t="s">
        <v>2</v>
      </c>
      <c r="D73" s="26" t="s">
        <v>323</v>
      </c>
      <c r="E73" s="35" t="s">
        <v>66</v>
      </c>
      <c r="F73" s="35">
        <v>50</v>
      </c>
      <c r="G73" s="38">
        <f>9960*1.07</f>
        <v>10657.2</v>
      </c>
      <c r="H73" s="36">
        <f t="shared" si="3"/>
        <v>532860</v>
      </c>
      <c r="I73" s="36">
        <f t="shared" si="1"/>
        <v>532860</v>
      </c>
      <c r="J73" s="37" t="s">
        <v>151</v>
      </c>
      <c r="L73" s="18">
        <f t="shared" si="2"/>
        <v>0</v>
      </c>
    </row>
    <row r="74" spans="1:12" s="17" customFormat="1" ht="51.75" customHeight="1" x14ac:dyDescent="0.2">
      <c r="A74" s="39">
        <v>64</v>
      </c>
      <c r="B74" s="26" t="s">
        <v>327</v>
      </c>
      <c r="C74" s="14" t="s">
        <v>2</v>
      </c>
      <c r="D74" s="26" t="s">
        <v>330</v>
      </c>
      <c r="E74" s="35" t="s">
        <v>66</v>
      </c>
      <c r="F74" s="35">
        <v>2</v>
      </c>
      <c r="G74" s="38">
        <f>32000*1.07</f>
        <v>34240</v>
      </c>
      <c r="H74" s="36">
        <f t="shared" si="3"/>
        <v>68480</v>
      </c>
      <c r="I74" s="36">
        <f t="shared" si="1"/>
        <v>68480</v>
      </c>
      <c r="J74" s="37" t="s">
        <v>151</v>
      </c>
      <c r="L74" s="18">
        <f t="shared" si="2"/>
        <v>0</v>
      </c>
    </row>
    <row r="75" spans="1:12" s="17" customFormat="1" ht="60.75" customHeight="1" x14ac:dyDescent="0.2">
      <c r="A75" s="39">
        <v>65</v>
      </c>
      <c r="B75" s="26" t="s">
        <v>324</v>
      </c>
      <c r="C75" s="14" t="s">
        <v>2</v>
      </c>
      <c r="D75" s="26" t="s">
        <v>326</v>
      </c>
      <c r="E75" s="35" t="s">
        <v>66</v>
      </c>
      <c r="F75" s="35">
        <v>2</v>
      </c>
      <c r="G75" s="38">
        <f>80900*1.07</f>
        <v>86563</v>
      </c>
      <c r="H75" s="36">
        <f t="shared" si="3"/>
        <v>173126</v>
      </c>
      <c r="I75" s="36">
        <f t="shared" si="1"/>
        <v>173126</v>
      </c>
      <c r="J75" s="37" t="s">
        <v>151</v>
      </c>
      <c r="L75" s="18">
        <f t="shared" si="2"/>
        <v>0</v>
      </c>
    </row>
    <row r="76" spans="1:12" s="17" customFormat="1" ht="51" customHeight="1" x14ac:dyDescent="0.2">
      <c r="A76" s="39">
        <v>66</v>
      </c>
      <c r="B76" s="26" t="s">
        <v>328</v>
      </c>
      <c r="C76" s="14" t="s">
        <v>2</v>
      </c>
      <c r="D76" s="26" t="s">
        <v>329</v>
      </c>
      <c r="E76" s="35" t="s">
        <v>66</v>
      </c>
      <c r="F76" s="35">
        <v>1</v>
      </c>
      <c r="G76" s="38">
        <f>40500*1.07</f>
        <v>43335</v>
      </c>
      <c r="H76" s="36">
        <f t="shared" si="3"/>
        <v>43335</v>
      </c>
      <c r="I76" s="36">
        <f t="shared" ref="I76:I113" si="4">H76</f>
        <v>43335</v>
      </c>
      <c r="J76" s="37" t="s">
        <v>151</v>
      </c>
      <c r="L76" s="18">
        <f t="shared" ref="L76:L139" si="5">I76-H76</f>
        <v>0</v>
      </c>
    </row>
    <row r="77" spans="1:12" s="17" customFormat="1" ht="60.75" customHeight="1" x14ac:dyDescent="0.2">
      <c r="A77" s="39">
        <v>67</v>
      </c>
      <c r="B77" s="26" t="s">
        <v>331</v>
      </c>
      <c r="C77" s="14" t="s">
        <v>2</v>
      </c>
      <c r="D77" s="26" t="s">
        <v>332</v>
      </c>
      <c r="E77" s="35" t="s">
        <v>66</v>
      </c>
      <c r="F77" s="35">
        <v>2</v>
      </c>
      <c r="G77" s="38">
        <f>35400*1.07</f>
        <v>37878</v>
      </c>
      <c r="H77" s="36">
        <f t="shared" si="3"/>
        <v>75756</v>
      </c>
      <c r="I77" s="36">
        <f t="shared" si="4"/>
        <v>75756</v>
      </c>
      <c r="J77" s="37" t="s">
        <v>151</v>
      </c>
      <c r="L77" s="18">
        <f t="shared" si="5"/>
        <v>0</v>
      </c>
    </row>
    <row r="78" spans="1:12" s="17" customFormat="1" ht="79.5" customHeight="1" x14ac:dyDescent="0.2">
      <c r="A78" s="39">
        <v>68</v>
      </c>
      <c r="B78" s="26" t="s">
        <v>335</v>
      </c>
      <c r="C78" s="14" t="s">
        <v>2</v>
      </c>
      <c r="D78" s="26" t="s">
        <v>325</v>
      </c>
      <c r="E78" s="35" t="s">
        <v>66</v>
      </c>
      <c r="F78" s="35">
        <v>1</v>
      </c>
      <c r="G78" s="38">
        <f>50600*1.07</f>
        <v>54142</v>
      </c>
      <c r="H78" s="36">
        <f t="shared" si="3"/>
        <v>54142</v>
      </c>
      <c r="I78" s="36">
        <f t="shared" si="4"/>
        <v>54142</v>
      </c>
      <c r="J78" s="37" t="s">
        <v>151</v>
      </c>
      <c r="L78" s="18">
        <f t="shared" si="5"/>
        <v>0</v>
      </c>
    </row>
    <row r="79" spans="1:12" s="17" customFormat="1" ht="60.75" customHeight="1" x14ac:dyDescent="0.2">
      <c r="A79" s="39">
        <v>69</v>
      </c>
      <c r="B79" s="26" t="s">
        <v>333</v>
      </c>
      <c r="C79" s="14" t="s">
        <v>2</v>
      </c>
      <c r="D79" s="26" t="s">
        <v>334</v>
      </c>
      <c r="E79" s="35" t="s">
        <v>66</v>
      </c>
      <c r="F79" s="35">
        <v>7</v>
      </c>
      <c r="G79" s="38">
        <f>130000*1.07</f>
        <v>139100</v>
      </c>
      <c r="H79" s="36">
        <f t="shared" si="3"/>
        <v>973700</v>
      </c>
      <c r="I79" s="36">
        <f t="shared" si="4"/>
        <v>973700</v>
      </c>
      <c r="J79" s="37" t="s">
        <v>151</v>
      </c>
      <c r="L79" s="18">
        <f t="shared" si="5"/>
        <v>0</v>
      </c>
    </row>
    <row r="80" spans="1:12" s="17" customFormat="1" ht="78" customHeight="1" x14ac:dyDescent="0.2">
      <c r="A80" s="39">
        <v>70</v>
      </c>
      <c r="B80" s="26" t="s">
        <v>437</v>
      </c>
      <c r="C80" s="14" t="s">
        <v>2</v>
      </c>
      <c r="D80" s="26" t="s">
        <v>438</v>
      </c>
      <c r="E80" s="35" t="s">
        <v>66</v>
      </c>
      <c r="F80" s="35">
        <v>1</v>
      </c>
      <c r="G80" s="38">
        <f>154900*1.07</f>
        <v>165743</v>
      </c>
      <c r="H80" s="36">
        <f t="shared" si="3"/>
        <v>165743</v>
      </c>
      <c r="I80" s="36">
        <f t="shared" si="4"/>
        <v>165743</v>
      </c>
      <c r="J80" s="37" t="s">
        <v>151</v>
      </c>
      <c r="L80" s="18">
        <f t="shared" si="5"/>
        <v>0</v>
      </c>
    </row>
    <row r="81" spans="1:12" s="17" customFormat="1" ht="49.5" customHeight="1" x14ac:dyDescent="0.2">
      <c r="A81" s="39">
        <v>71</v>
      </c>
      <c r="B81" s="26" t="s">
        <v>73</v>
      </c>
      <c r="C81" s="14" t="s">
        <v>2</v>
      </c>
      <c r="D81" s="26" t="s">
        <v>210</v>
      </c>
      <c r="E81" s="35" t="s">
        <v>75</v>
      </c>
      <c r="F81" s="35">
        <v>3000</v>
      </c>
      <c r="G81" s="38">
        <f>163*1.07</f>
        <v>174.41</v>
      </c>
      <c r="H81" s="36">
        <f t="shared" ref="H81:H86" si="6">F81*G81</f>
        <v>523230</v>
      </c>
      <c r="I81" s="36">
        <f t="shared" si="4"/>
        <v>523230</v>
      </c>
      <c r="J81" s="37" t="s">
        <v>151</v>
      </c>
      <c r="L81" s="18">
        <f t="shared" si="5"/>
        <v>0</v>
      </c>
    </row>
    <row r="82" spans="1:12" s="17" customFormat="1" ht="51" customHeight="1" x14ac:dyDescent="0.2">
      <c r="A82" s="39">
        <v>72</v>
      </c>
      <c r="B82" s="26" t="s">
        <v>336</v>
      </c>
      <c r="C82" s="14" t="s">
        <v>2</v>
      </c>
      <c r="D82" s="26" t="s">
        <v>337</v>
      </c>
      <c r="E82" s="35" t="s">
        <v>66</v>
      </c>
      <c r="F82" s="35">
        <v>12</v>
      </c>
      <c r="G82" s="38">
        <f>2600*1.07</f>
        <v>2782</v>
      </c>
      <c r="H82" s="36">
        <f t="shared" si="6"/>
        <v>33384</v>
      </c>
      <c r="I82" s="36">
        <f t="shared" si="4"/>
        <v>33384</v>
      </c>
      <c r="J82" s="37" t="s">
        <v>151</v>
      </c>
      <c r="L82" s="18">
        <f t="shared" si="5"/>
        <v>0</v>
      </c>
    </row>
    <row r="83" spans="1:12" s="17" customFormat="1" ht="49.5" customHeight="1" x14ac:dyDescent="0.2">
      <c r="A83" s="39">
        <v>73</v>
      </c>
      <c r="B83" s="26" t="s">
        <v>74</v>
      </c>
      <c r="C83" s="14" t="s">
        <v>2</v>
      </c>
      <c r="D83" s="26" t="s">
        <v>211</v>
      </c>
      <c r="E83" s="35" t="s">
        <v>66</v>
      </c>
      <c r="F83" s="35">
        <v>4</v>
      </c>
      <c r="G83" s="38">
        <f>62000*1.07</f>
        <v>66340</v>
      </c>
      <c r="H83" s="36">
        <f t="shared" si="6"/>
        <v>265360</v>
      </c>
      <c r="I83" s="36">
        <f t="shared" si="4"/>
        <v>265360</v>
      </c>
      <c r="J83" s="37" t="s">
        <v>151</v>
      </c>
      <c r="L83" s="18">
        <f t="shared" si="5"/>
        <v>0</v>
      </c>
    </row>
    <row r="84" spans="1:12" s="17" customFormat="1" ht="48" customHeight="1" x14ac:dyDescent="0.2">
      <c r="A84" s="39">
        <v>74</v>
      </c>
      <c r="B84" s="26" t="s">
        <v>156</v>
      </c>
      <c r="C84" s="14" t="s">
        <v>2</v>
      </c>
      <c r="D84" s="26" t="s">
        <v>212</v>
      </c>
      <c r="E84" s="35" t="s">
        <v>24</v>
      </c>
      <c r="F84" s="35">
        <v>1</v>
      </c>
      <c r="G84" s="38">
        <f>35795*1.07</f>
        <v>38300.65</v>
      </c>
      <c r="H84" s="36">
        <f t="shared" si="6"/>
        <v>38300.65</v>
      </c>
      <c r="I84" s="36">
        <f t="shared" si="4"/>
        <v>38300.65</v>
      </c>
      <c r="J84" s="37" t="s">
        <v>151</v>
      </c>
      <c r="L84" s="18">
        <f t="shared" si="5"/>
        <v>0</v>
      </c>
    </row>
    <row r="85" spans="1:12" s="17" customFormat="1" ht="49.5" customHeight="1" x14ac:dyDescent="0.2">
      <c r="A85" s="39">
        <v>75</v>
      </c>
      <c r="B85" s="26" t="s">
        <v>157</v>
      </c>
      <c r="C85" s="14" t="s">
        <v>2</v>
      </c>
      <c r="D85" s="26" t="s">
        <v>213</v>
      </c>
      <c r="E85" s="35" t="s">
        <v>24</v>
      </c>
      <c r="F85" s="35">
        <v>1</v>
      </c>
      <c r="G85" s="38">
        <f>2000*1.07</f>
        <v>2140</v>
      </c>
      <c r="H85" s="36">
        <f t="shared" si="6"/>
        <v>2140</v>
      </c>
      <c r="I85" s="36">
        <f t="shared" si="4"/>
        <v>2140</v>
      </c>
      <c r="J85" s="37" t="s">
        <v>151</v>
      </c>
      <c r="L85" s="18">
        <f t="shared" si="5"/>
        <v>0</v>
      </c>
    </row>
    <row r="86" spans="1:12" s="17" customFormat="1" ht="48" customHeight="1" x14ac:dyDescent="0.2">
      <c r="A86" s="39">
        <v>76</v>
      </c>
      <c r="B86" s="26" t="s">
        <v>158</v>
      </c>
      <c r="C86" s="14" t="s">
        <v>2</v>
      </c>
      <c r="D86" s="26" t="s">
        <v>214</v>
      </c>
      <c r="E86" s="35" t="s">
        <v>66</v>
      </c>
      <c r="F86" s="35">
        <v>2</v>
      </c>
      <c r="G86" s="38">
        <f>3000*1.07</f>
        <v>3210</v>
      </c>
      <c r="H86" s="36">
        <f t="shared" si="6"/>
        <v>6420</v>
      </c>
      <c r="I86" s="36">
        <f t="shared" si="4"/>
        <v>6420</v>
      </c>
      <c r="J86" s="37" t="s">
        <v>151</v>
      </c>
      <c r="L86" s="18">
        <f t="shared" si="5"/>
        <v>0</v>
      </c>
    </row>
    <row r="87" spans="1:12" s="17" customFormat="1" ht="48" customHeight="1" x14ac:dyDescent="0.2">
      <c r="A87" s="39">
        <v>77</v>
      </c>
      <c r="B87" s="26" t="s">
        <v>76</v>
      </c>
      <c r="C87" s="14" t="s">
        <v>2</v>
      </c>
      <c r="D87" s="26" t="s">
        <v>215</v>
      </c>
      <c r="E87" s="35" t="s">
        <v>97</v>
      </c>
      <c r="F87" s="35">
        <f>35*9</f>
        <v>315</v>
      </c>
      <c r="G87" s="38">
        <f>600*1.07</f>
        <v>642</v>
      </c>
      <c r="H87" s="36">
        <f t="shared" ref="H87:H113" si="7">F87*G87</f>
        <v>202230</v>
      </c>
      <c r="I87" s="36">
        <f t="shared" si="4"/>
        <v>202230</v>
      </c>
      <c r="J87" s="37" t="s">
        <v>151</v>
      </c>
      <c r="L87" s="18">
        <f t="shared" si="5"/>
        <v>0</v>
      </c>
    </row>
    <row r="88" spans="1:12" s="17" customFormat="1" ht="50.25" customHeight="1" x14ac:dyDescent="0.2">
      <c r="A88" s="39">
        <v>78</v>
      </c>
      <c r="B88" s="26" t="s">
        <v>77</v>
      </c>
      <c r="C88" s="14" t="s">
        <v>2</v>
      </c>
      <c r="D88" s="26" t="s">
        <v>216</v>
      </c>
      <c r="E88" s="35" t="s">
        <v>97</v>
      </c>
      <c r="F88" s="35">
        <f>12*4*9</f>
        <v>432</v>
      </c>
      <c r="G88" s="38">
        <f>105*1.07</f>
        <v>112.35000000000001</v>
      </c>
      <c r="H88" s="36">
        <f t="shared" si="7"/>
        <v>48535.200000000004</v>
      </c>
      <c r="I88" s="36">
        <f t="shared" si="4"/>
        <v>48535.200000000004</v>
      </c>
      <c r="J88" s="37" t="s">
        <v>151</v>
      </c>
      <c r="L88" s="18">
        <f t="shared" si="5"/>
        <v>0</v>
      </c>
    </row>
    <row r="89" spans="1:12" s="17" customFormat="1" ht="48.75" customHeight="1" x14ac:dyDescent="0.2">
      <c r="A89" s="39">
        <v>79</v>
      </c>
      <c r="B89" s="26" t="s">
        <v>159</v>
      </c>
      <c r="C89" s="14" t="s">
        <v>2</v>
      </c>
      <c r="D89" s="26" t="s">
        <v>217</v>
      </c>
      <c r="E89" s="35" t="s">
        <v>66</v>
      </c>
      <c r="F89" s="35">
        <v>10</v>
      </c>
      <c r="G89" s="38">
        <f>1500*1.07</f>
        <v>1605</v>
      </c>
      <c r="H89" s="36">
        <f t="shared" si="7"/>
        <v>16050</v>
      </c>
      <c r="I89" s="36">
        <f t="shared" si="4"/>
        <v>16050</v>
      </c>
      <c r="J89" s="37" t="s">
        <v>151</v>
      </c>
      <c r="L89" s="18">
        <f t="shared" si="5"/>
        <v>0</v>
      </c>
    </row>
    <row r="90" spans="1:12" s="17" customFormat="1" ht="48.75" customHeight="1" x14ac:dyDescent="0.2">
      <c r="A90" s="39">
        <v>80</v>
      </c>
      <c r="B90" s="26" t="s">
        <v>78</v>
      </c>
      <c r="C90" s="14" t="s">
        <v>2</v>
      </c>
      <c r="D90" s="26" t="s">
        <v>218</v>
      </c>
      <c r="E90" s="35" t="s">
        <v>66</v>
      </c>
      <c r="F90" s="35">
        <v>1200</v>
      </c>
      <c r="G90" s="38">
        <f>5*1.07</f>
        <v>5.3500000000000005</v>
      </c>
      <c r="H90" s="36">
        <f t="shared" si="7"/>
        <v>6420.0000000000009</v>
      </c>
      <c r="I90" s="36">
        <f t="shared" si="4"/>
        <v>6420.0000000000009</v>
      </c>
      <c r="J90" s="37" t="s">
        <v>151</v>
      </c>
      <c r="L90" s="18">
        <f t="shared" si="5"/>
        <v>0</v>
      </c>
    </row>
    <row r="91" spans="1:12" s="17" customFormat="1" ht="47.25" customHeight="1" x14ac:dyDescent="0.2">
      <c r="A91" s="39">
        <v>81</v>
      </c>
      <c r="B91" s="26" t="s">
        <v>79</v>
      </c>
      <c r="C91" s="14" t="s">
        <v>2</v>
      </c>
      <c r="D91" s="26" t="s">
        <v>219</v>
      </c>
      <c r="E91" s="35" t="s">
        <v>72</v>
      </c>
      <c r="F91" s="35">
        <f>3*(9)-1</f>
        <v>26</v>
      </c>
      <c r="G91" s="38">
        <f>8500*1.07</f>
        <v>9095</v>
      </c>
      <c r="H91" s="36">
        <f t="shared" si="7"/>
        <v>236470</v>
      </c>
      <c r="I91" s="36">
        <f t="shared" si="4"/>
        <v>236470</v>
      </c>
      <c r="J91" s="37" t="s">
        <v>151</v>
      </c>
      <c r="L91" s="18">
        <f t="shared" si="5"/>
        <v>0</v>
      </c>
    </row>
    <row r="92" spans="1:12" s="17" customFormat="1" ht="48.75" customHeight="1" x14ac:dyDescent="0.2">
      <c r="A92" s="39">
        <v>82</v>
      </c>
      <c r="B92" s="26" t="s">
        <v>80</v>
      </c>
      <c r="C92" s="14" t="s">
        <v>2</v>
      </c>
      <c r="D92" s="26" t="s">
        <v>220</v>
      </c>
      <c r="E92" s="35" t="s">
        <v>97</v>
      </c>
      <c r="F92" s="35">
        <f>4*9</f>
        <v>36</v>
      </c>
      <c r="G92" s="38">
        <f>3000*1.07</f>
        <v>3210</v>
      </c>
      <c r="H92" s="36">
        <f t="shared" si="7"/>
        <v>115560</v>
      </c>
      <c r="I92" s="36">
        <f t="shared" si="4"/>
        <v>115560</v>
      </c>
      <c r="J92" s="37" t="s">
        <v>151</v>
      </c>
      <c r="L92" s="18">
        <f t="shared" si="5"/>
        <v>0</v>
      </c>
    </row>
    <row r="93" spans="1:12" s="17" customFormat="1" ht="50.25" customHeight="1" x14ac:dyDescent="0.2">
      <c r="A93" s="39">
        <v>83</v>
      </c>
      <c r="B93" s="26" t="s">
        <v>81</v>
      </c>
      <c r="C93" s="14" t="s">
        <v>2</v>
      </c>
      <c r="D93" s="26" t="s">
        <v>221</v>
      </c>
      <c r="E93" s="35" t="s">
        <v>75</v>
      </c>
      <c r="F93" s="35">
        <f>3*4*(9)</f>
        <v>108</v>
      </c>
      <c r="G93" s="38">
        <f>375*1.07</f>
        <v>401.25</v>
      </c>
      <c r="H93" s="36">
        <f t="shared" si="7"/>
        <v>43335</v>
      </c>
      <c r="I93" s="36">
        <f t="shared" si="4"/>
        <v>43335</v>
      </c>
      <c r="J93" s="37" t="s">
        <v>151</v>
      </c>
      <c r="L93" s="18">
        <f t="shared" si="5"/>
        <v>0</v>
      </c>
    </row>
    <row r="94" spans="1:12" s="17" customFormat="1" ht="48" customHeight="1" x14ac:dyDescent="0.2">
      <c r="A94" s="39">
        <v>84</v>
      </c>
      <c r="B94" s="26" t="s">
        <v>82</v>
      </c>
      <c r="C94" s="14" t="s">
        <v>2</v>
      </c>
      <c r="D94" s="26" t="s">
        <v>222</v>
      </c>
      <c r="E94" s="35" t="s">
        <v>72</v>
      </c>
      <c r="F94" s="35">
        <f>2*(9)</f>
        <v>18</v>
      </c>
      <c r="G94" s="38">
        <f>469*1.07</f>
        <v>501.83000000000004</v>
      </c>
      <c r="H94" s="36">
        <f t="shared" si="7"/>
        <v>9032.94</v>
      </c>
      <c r="I94" s="36">
        <f t="shared" si="4"/>
        <v>9032.94</v>
      </c>
      <c r="J94" s="37" t="s">
        <v>151</v>
      </c>
      <c r="L94" s="18">
        <f t="shared" si="5"/>
        <v>0</v>
      </c>
    </row>
    <row r="95" spans="1:12" s="17" customFormat="1" ht="51" customHeight="1" x14ac:dyDescent="0.2">
      <c r="A95" s="39">
        <v>85</v>
      </c>
      <c r="B95" s="26" t="s">
        <v>83</v>
      </c>
      <c r="C95" s="14" t="s">
        <v>2</v>
      </c>
      <c r="D95" s="26" t="s">
        <v>223</v>
      </c>
      <c r="E95" s="35" t="s">
        <v>68</v>
      </c>
      <c r="F95" s="35">
        <f>2*9</f>
        <v>18</v>
      </c>
      <c r="G95" s="38">
        <f>1450*1.07</f>
        <v>1551.5</v>
      </c>
      <c r="H95" s="36">
        <f t="shared" si="7"/>
        <v>27927</v>
      </c>
      <c r="I95" s="36">
        <f t="shared" si="4"/>
        <v>27927</v>
      </c>
      <c r="J95" s="37" t="s">
        <v>151</v>
      </c>
      <c r="L95" s="18">
        <f t="shared" si="5"/>
        <v>0</v>
      </c>
    </row>
    <row r="96" spans="1:12" s="17" customFormat="1" ht="48.75" customHeight="1" x14ac:dyDescent="0.2">
      <c r="A96" s="39">
        <v>86</v>
      </c>
      <c r="B96" s="26" t="s">
        <v>84</v>
      </c>
      <c r="C96" s="14" t="s">
        <v>2</v>
      </c>
      <c r="D96" s="26" t="s">
        <v>224</v>
      </c>
      <c r="E96" s="35" t="s">
        <v>68</v>
      </c>
      <c r="F96" s="35">
        <f>2*9</f>
        <v>18</v>
      </c>
      <c r="G96" s="38">
        <f>1450*1.07</f>
        <v>1551.5</v>
      </c>
      <c r="H96" s="36">
        <f t="shared" si="7"/>
        <v>27927</v>
      </c>
      <c r="I96" s="36">
        <f t="shared" si="4"/>
        <v>27927</v>
      </c>
      <c r="J96" s="37" t="s">
        <v>151</v>
      </c>
      <c r="L96" s="18">
        <f t="shared" si="5"/>
        <v>0</v>
      </c>
    </row>
    <row r="97" spans="1:12" s="17" customFormat="1" ht="48" customHeight="1" x14ac:dyDescent="0.2">
      <c r="A97" s="39">
        <v>87</v>
      </c>
      <c r="B97" s="26" t="s">
        <v>85</v>
      </c>
      <c r="C97" s="14" t="s">
        <v>2</v>
      </c>
      <c r="D97" s="26" t="s">
        <v>225</v>
      </c>
      <c r="E97" s="35" t="s">
        <v>97</v>
      </c>
      <c r="F97" s="35">
        <v>9</v>
      </c>
      <c r="G97" s="38">
        <f>635*1.07</f>
        <v>679.45</v>
      </c>
      <c r="H97" s="36">
        <f t="shared" si="7"/>
        <v>6115.05</v>
      </c>
      <c r="I97" s="36">
        <f t="shared" si="4"/>
        <v>6115.05</v>
      </c>
      <c r="J97" s="37" t="s">
        <v>151</v>
      </c>
      <c r="L97" s="18">
        <f t="shared" si="5"/>
        <v>0</v>
      </c>
    </row>
    <row r="98" spans="1:12" s="17" customFormat="1" ht="50.25" customHeight="1" x14ac:dyDescent="0.2">
      <c r="A98" s="39">
        <v>88</v>
      </c>
      <c r="B98" s="26" t="s">
        <v>23</v>
      </c>
      <c r="C98" s="14" t="s">
        <v>2</v>
      </c>
      <c r="D98" s="26" t="s">
        <v>226</v>
      </c>
      <c r="E98" s="35" t="s">
        <v>66</v>
      </c>
      <c r="F98" s="35">
        <v>9</v>
      </c>
      <c r="G98" s="38">
        <f>545*1.07</f>
        <v>583.15</v>
      </c>
      <c r="H98" s="36">
        <f t="shared" si="7"/>
        <v>5248.3499999999995</v>
      </c>
      <c r="I98" s="36">
        <f t="shared" si="4"/>
        <v>5248.3499999999995</v>
      </c>
      <c r="J98" s="37" t="s">
        <v>151</v>
      </c>
      <c r="L98" s="18">
        <f t="shared" si="5"/>
        <v>0</v>
      </c>
    </row>
    <row r="99" spans="1:12" s="17" customFormat="1" ht="50.25" customHeight="1" x14ac:dyDescent="0.2">
      <c r="A99" s="39">
        <v>89</v>
      </c>
      <c r="B99" s="26" t="s">
        <v>15</v>
      </c>
      <c r="C99" s="14" t="s">
        <v>2</v>
      </c>
      <c r="D99" s="26" t="s">
        <v>227</v>
      </c>
      <c r="E99" s="35" t="s">
        <v>98</v>
      </c>
      <c r="F99" s="35">
        <f>4*9*2</f>
        <v>72</v>
      </c>
      <c r="G99" s="38">
        <f>475*1.07</f>
        <v>508.25000000000006</v>
      </c>
      <c r="H99" s="36">
        <f t="shared" si="7"/>
        <v>36594.000000000007</v>
      </c>
      <c r="I99" s="36">
        <f t="shared" si="4"/>
        <v>36594.000000000007</v>
      </c>
      <c r="J99" s="37" t="s">
        <v>151</v>
      </c>
      <c r="L99" s="18">
        <f t="shared" si="5"/>
        <v>0</v>
      </c>
    </row>
    <row r="100" spans="1:12" s="17" customFormat="1" ht="60.75" customHeight="1" x14ac:dyDescent="0.2">
      <c r="A100" s="39">
        <v>90</v>
      </c>
      <c r="B100" s="26" t="s">
        <v>86</v>
      </c>
      <c r="C100" s="14" t="s">
        <v>2</v>
      </c>
      <c r="D100" s="26" t="s">
        <v>228</v>
      </c>
      <c r="E100" s="35" t="s">
        <v>97</v>
      </c>
      <c r="F100" s="35">
        <v>4</v>
      </c>
      <c r="G100" s="38">
        <f>745*1.07</f>
        <v>797.15000000000009</v>
      </c>
      <c r="H100" s="36">
        <f t="shared" si="7"/>
        <v>3188.6000000000004</v>
      </c>
      <c r="I100" s="36">
        <f t="shared" si="4"/>
        <v>3188.6000000000004</v>
      </c>
      <c r="J100" s="37" t="s">
        <v>151</v>
      </c>
      <c r="L100" s="18">
        <f t="shared" si="5"/>
        <v>0</v>
      </c>
    </row>
    <row r="101" spans="1:12" s="17" customFormat="1" ht="48" customHeight="1" x14ac:dyDescent="0.2">
      <c r="A101" s="39">
        <v>91</v>
      </c>
      <c r="B101" s="26" t="s">
        <v>87</v>
      </c>
      <c r="C101" s="14" t="s">
        <v>2</v>
      </c>
      <c r="D101" s="26" t="s">
        <v>229</v>
      </c>
      <c r="E101" s="35" t="s">
        <v>66</v>
      </c>
      <c r="F101" s="35">
        <v>9</v>
      </c>
      <c r="G101" s="38">
        <f>465*1.07</f>
        <v>497.55</v>
      </c>
      <c r="H101" s="36">
        <f t="shared" si="7"/>
        <v>4477.95</v>
      </c>
      <c r="I101" s="36">
        <f t="shared" si="4"/>
        <v>4477.95</v>
      </c>
      <c r="J101" s="37" t="s">
        <v>151</v>
      </c>
      <c r="L101" s="18">
        <f t="shared" si="5"/>
        <v>0</v>
      </c>
    </row>
    <row r="102" spans="1:12" s="17" customFormat="1" ht="48" customHeight="1" x14ac:dyDescent="0.2">
      <c r="A102" s="39">
        <v>92</v>
      </c>
      <c r="B102" s="26" t="s">
        <v>88</v>
      </c>
      <c r="C102" s="14" t="s">
        <v>2</v>
      </c>
      <c r="D102" s="26" t="s">
        <v>230</v>
      </c>
      <c r="E102" s="35" t="s">
        <v>66</v>
      </c>
      <c r="F102" s="35">
        <v>50</v>
      </c>
      <c r="G102" s="38">
        <f>46*1.07</f>
        <v>49.220000000000006</v>
      </c>
      <c r="H102" s="36">
        <f t="shared" si="7"/>
        <v>2461.0000000000005</v>
      </c>
      <c r="I102" s="36">
        <f t="shared" si="4"/>
        <v>2461.0000000000005</v>
      </c>
      <c r="J102" s="37" t="s">
        <v>151</v>
      </c>
      <c r="L102" s="18">
        <f t="shared" si="5"/>
        <v>0</v>
      </c>
    </row>
    <row r="103" spans="1:12" s="17" customFormat="1" ht="49.5" customHeight="1" x14ac:dyDescent="0.2">
      <c r="A103" s="39">
        <v>93</v>
      </c>
      <c r="B103" s="26" t="s">
        <v>89</v>
      </c>
      <c r="C103" s="14" t="s">
        <v>2</v>
      </c>
      <c r="D103" s="26" t="s">
        <v>231</v>
      </c>
      <c r="E103" s="35" t="s">
        <v>66</v>
      </c>
      <c r="F103" s="35">
        <v>50</v>
      </c>
      <c r="G103" s="38">
        <f>16*1.07</f>
        <v>17.12</v>
      </c>
      <c r="H103" s="36">
        <f t="shared" si="7"/>
        <v>856</v>
      </c>
      <c r="I103" s="36">
        <f t="shared" si="4"/>
        <v>856</v>
      </c>
      <c r="J103" s="37" t="s">
        <v>151</v>
      </c>
      <c r="L103" s="18">
        <f t="shared" si="5"/>
        <v>0</v>
      </c>
    </row>
    <row r="104" spans="1:12" s="17" customFormat="1" ht="48.75" customHeight="1" x14ac:dyDescent="0.2">
      <c r="A104" s="39">
        <v>94</v>
      </c>
      <c r="B104" s="26" t="s">
        <v>90</v>
      </c>
      <c r="C104" s="14" t="s">
        <v>2</v>
      </c>
      <c r="D104" s="26" t="s">
        <v>232</v>
      </c>
      <c r="E104" s="35" t="s">
        <v>66</v>
      </c>
      <c r="F104" s="35">
        <f>2*9</f>
        <v>18</v>
      </c>
      <c r="G104" s="38">
        <f>109*1.07</f>
        <v>116.63000000000001</v>
      </c>
      <c r="H104" s="36">
        <f t="shared" si="7"/>
        <v>2099.34</v>
      </c>
      <c r="I104" s="36">
        <f t="shared" si="4"/>
        <v>2099.34</v>
      </c>
      <c r="J104" s="37" t="s">
        <v>151</v>
      </c>
      <c r="L104" s="18">
        <f t="shared" si="5"/>
        <v>0</v>
      </c>
    </row>
    <row r="105" spans="1:12" s="17" customFormat="1" ht="50.25" customHeight="1" x14ac:dyDescent="0.2">
      <c r="A105" s="39">
        <v>95</v>
      </c>
      <c r="B105" s="26" t="s">
        <v>91</v>
      </c>
      <c r="C105" s="14" t="s">
        <v>2</v>
      </c>
      <c r="D105" s="26" t="s">
        <v>233</v>
      </c>
      <c r="E105" s="35" t="s">
        <v>24</v>
      </c>
      <c r="F105" s="35">
        <v>1</v>
      </c>
      <c r="G105" s="38">
        <f>52845*1.07</f>
        <v>56544.15</v>
      </c>
      <c r="H105" s="36">
        <f t="shared" si="7"/>
        <v>56544.15</v>
      </c>
      <c r="I105" s="36">
        <f t="shared" si="4"/>
        <v>56544.15</v>
      </c>
      <c r="J105" s="37" t="s">
        <v>151</v>
      </c>
      <c r="L105" s="18">
        <f t="shared" si="5"/>
        <v>0</v>
      </c>
    </row>
    <row r="106" spans="1:12" s="17" customFormat="1" ht="49.5" customHeight="1" x14ac:dyDescent="0.2">
      <c r="A106" s="39">
        <v>96</v>
      </c>
      <c r="B106" s="26" t="s">
        <v>92</v>
      </c>
      <c r="C106" s="14" t="s">
        <v>2</v>
      </c>
      <c r="D106" s="26" t="s">
        <v>234</v>
      </c>
      <c r="E106" s="35" t="s">
        <v>24</v>
      </c>
      <c r="F106" s="35">
        <v>2</v>
      </c>
      <c r="G106" s="38">
        <f>10710*1.07</f>
        <v>11459.7</v>
      </c>
      <c r="H106" s="36">
        <f t="shared" si="7"/>
        <v>22919.4</v>
      </c>
      <c r="I106" s="36">
        <f t="shared" si="4"/>
        <v>22919.4</v>
      </c>
      <c r="J106" s="37" t="s">
        <v>151</v>
      </c>
      <c r="L106" s="18">
        <f t="shared" si="5"/>
        <v>0</v>
      </c>
    </row>
    <row r="107" spans="1:12" s="17" customFormat="1" ht="51.75" customHeight="1" x14ac:dyDescent="0.2">
      <c r="A107" s="39">
        <v>97</v>
      </c>
      <c r="B107" s="26" t="s">
        <v>160</v>
      </c>
      <c r="C107" s="14" t="s">
        <v>2</v>
      </c>
      <c r="D107" s="26" t="s">
        <v>235</v>
      </c>
      <c r="E107" s="35" t="s">
        <v>66</v>
      </c>
      <c r="F107" s="35">
        <v>19</v>
      </c>
      <c r="G107" s="38">
        <f>15490*1.07</f>
        <v>16574.3</v>
      </c>
      <c r="H107" s="36">
        <f t="shared" si="7"/>
        <v>314911.7</v>
      </c>
      <c r="I107" s="36">
        <f t="shared" si="4"/>
        <v>314911.7</v>
      </c>
      <c r="J107" s="37" t="s">
        <v>151</v>
      </c>
      <c r="L107" s="18">
        <f t="shared" si="5"/>
        <v>0</v>
      </c>
    </row>
    <row r="108" spans="1:12" s="17" customFormat="1" ht="48" customHeight="1" x14ac:dyDescent="0.2">
      <c r="A108" s="39">
        <v>98</v>
      </c>
      <c r="B108" s="26" t="s">
        <v>93</v>
      </c>
      <c r="C108" s="14" t="s">
        <v>2</v>
      </c>
      <c r="D108" s="26" t="s">
        <v>236</v>
      </c>
      <c r="E108" s="35" t="s">
        <v>66</v>
      </c>
      <c r="F108" s="35">
        <v>2</v>
      </c>
      <c r="G108" s="38">
        <f>18090*1.07</f>
        <v>19356.300000000003</v>
      </c>
      <c r="H108" s="36">
        <f t="shared" si="7"/>
        <v>38712.600000000006</v>
      </c>
      <c r="I108" s="36">
        <f t="shared" si="4"/>
        <v>38712.600000000006</v>
      </c>
      <c r="J108" s="37" t="s">
        <v>151</v>
      </c>
      <c r="L108" s="18">
        <f t="shared" si="5"/>
        <v>0</v>
      </c>
    </row>
    <row r="109" spans="1:12" s="17" customFormat="1" ht="51.75" customHeight="1" x14ac:dyDescent="0.2">
      <c r="A109" s="39">
        <v>99</v>
      </c>
      <c r="B109" s="26" t="s">
        <v>94</v>
      </c>
      <c r="C109" s="14" t="s">
        <v>2</v>
      </c>
      <c r="D109" s="26" t="s">
        <v>237</v>
      </c>
      <c r="E109" s="35" t="s">
        <v>68</v>
      </c>
      <c r="F109" s="35">
        <f>4*2*9</f>
        <v>72</v>
      </c>
      <c r="G109" s="38">
        <f>380*1.07</f>
        <v>406.6</v>
      </c>
      <c r="H109" s="36">
        <f t="shared" si="7"/>
        <v>29275.200000000001</v>
      </c>
      <c r="I109" s="36">
        <f t="shared" si="4"/>
        <v>29275.200000000001</v>
      </c>
      <c r="J109" s="37" t="s">
        <v>151</v>
      </c>
      <c r="L109" s="18">
        <f t="shared" si="5"/>
        <v>0</v>
      </c>
    </row>
    <row r="110" spans="1:12" s="17" customFormat="1" ht="36" customHeight="1" x14ac:dyDescent="0.2">
      <c r="A110" s="39">
        <v>100</v>
      </c>
      <c r="B110" s="26" t="s">
        <v>95</v>
      </c>
      <c r="C110" s="14" t="s">
        <v>2</v>
      </c>
      <c r="D110" s="26" t="s">
        <v>238</v>
      </c>
      <c r="E110" s="35" t="s">
        <v>66</v>
      </c>
      <c r="F110" s="35">
        <v>2</v>
      </c>
      <c r="G110" s="38">
        <f>14990*1.07</f>
        <v>16039.300000000001</v>
      </c>
      <c r="H110" s="36">
        <f t="shared" si="7"/>
        <v>32078.600000000002</v>
      </c>
      <c r="I110" s="36">
        <f t="shared" si="4"/>
        <v>32078.600000000002</v>
      </c>
      <c r="J110" s="37" t="s">
        <v>151</v>
      </c>
      <c r="L110" s="18">
        <f t="shared" si="5"/>
        <v>0</v>
      </c>
    </row>
    <row r="111" spans="1:12" s="17" customFormat="1" ht="53.25" customHeight="1" x14ac:dyDescent="0.2">
      <c r="A111" s="39">
        <v>101</v>
      </c>
      <c r="B111" s="26" t="s">
        <v>96</v>
      </c>
      <c r="C111" s="14" t="s">
        <v>2</v>
      </c>
      <c r="D111" s="26" t="s">
        <v>239</v>
      </c>
      <c r="E111" s="35" t="s">
        <v>66</v>
      </c>
      <c r="F111" s="35">
        <v>9</v>
      </c>
      <c r="G111" s="38">
        <f>3990*1.07</f>
        <v>4269.3</v>
      </c>
      <c r="H111" s="36">
        <f t="shared" si="7"/>
        <v>38423.700000000004</v>
      </c>
      <c r="I111" s="36">
        <f t="shared" si="4"/>
        <v>38423.700000000004</v>
      </c>
      <c r="J111" s="37" t="s">
        <v>151</v>
      </c>
      <c r="L111" s="18">
        <f t="shared" si="5"/>
        <v>0</v>
      </c>
    </row>
    <row r="112" spans="1:12" s="17" customFormat="1" ht="52.5" customHeight="1" x14ac:dyDescent="0.2">
      <c r="A112" s="39">
        <v>102</v>
      </c>
      <c r="B112" s="26" t="s">
        <v>161</v>
      </c>
      <c r="C112" s="14" t="s">
        <v>2</v>
      </c>
      <c r="D112" s="26" t="s">
        <v>240</v>
      </c>
      <c r="E112" s="35" t="s">
        <v>66</v>
      </c>
      <c r="F112" s="35">
        <v>10</v>
      </c>
      <c r="G112" s="38">
        <f>3500*1.07</f>
        <v>3745</v>
      </c>
      <c r="H112" s="36">
        <f t="shared" si="7"/>
        <v>37450</v>
      </c>
      <c r="I112" s="36">
        <f t="shared" si="4"/>
        <v>37450</v>
      </c>
      <c r="J112" s="37" t="s">
        <v>151</v>
      </c>
      <c r="L112" s="18">
        <f t="shared" si="5"/>
        <v>0</v>
      </c>
    </row>
    <row r="113" spans="1:12" s="17" customFormat="1" ht="54" customHeight="1" x14ac:dyDescent="0.2">
      <c r="A113" s="39">
        <v>103</v>
      </c>
      <c r="B113" s="26" t="s">
        <v>338</v>
      </c>
      <c r="C113" s="14" t="s">
        <v>2</v>
      </c>
      <c r="D113" s="26" t="s">
        <v>339</v>
      </c>
      <c r="E113" s="35" t="s">
        <v>66</v>
      </c>
      <c r="F113" s="35">
        <v>3</v>
      </c>
      <c r="G113" s="38">
        <f>49800*1.07</f>
        <v>53286</v>
      </c>
      <c r="H113" s="36">
        <f t="shared" si="7"/>
        <v>159858</v>
      </c>
      <c r="I113" s="36">
        <f t="shared" si="4"/>
        <v>159858</v>
      </c>
      <c r="J113" s="37" t="s">
        <v>151</v>
      </c>
      <c r="L113" s="18">
        <f t="shared" si="5"/>
        <v>0</v>
      </c>
    </row>
    <row r="114" spans="1:12" s="17" customFormat="1" ht="68.25" customHeight="1" x14ac:dyDescent="0.2">
      <c r="A114" s="39">
        <v>104</v>
      </c>
      <c r="B114" s="26" t="s">
        <v>389</v>
      </c>
      <c r="C114" s="14" t="s">
        <v>2</v>
      </c>
      <c r="D114" s="26" t="s">
        <v>390</v>
      </c>
      <c r="E114" s="35" t="s">
        <v>107</v>
      </c>
      <c r="F114" s="35">
        <v>5</v>
      </c>
      <c r="G114" s="38">
        <f>360241.294642857/5*1.07*1.12</f>
        <v>86342.633499999967</v>
      </c>
      <c r="H114" s="36">
        <f>F114*G114</f>
        <v>431713.16749999986</v>
      </c>
      <c r="I114" s="36">
        <f>H114</f>
        <v>431713.16749999986</v>
      </c>
      <c r="J114" s="37" t="s">
        <v>151</v>
      </c>
      <c r="L114" s="18">
        <f t="shared" si="5"/>
        <v>0</v>
      </c>
    </row>
    <row r="115" spans="1:12" s="17" customFormat="1" ht="68.25" customHeight="1" x14ac:dyDescent="0.2">
      <c r="A115" s="39">
        <v>105</v>
      </c>
      <c r="B115" s="26" t="s">
        <v>340</v>
      </c>
      <c r="C115" s="14" t="s">
        <v>2</v>
      </c>
      <c r="D115" s="26" t="s">
        <v>401</v>
      </c>
      <c r="E115" s="35" t="s">
        <v>107</v>
      </c>
      <c r="F115" s="35">
        <v>5</v>
      </c>
      <c r="G115" s="38">
        <f>533184.821428571/5*1.07*1.12</f>
        <v>127793.73799999991</v>
      </c>
      <c r="H115" s="36">
        <f t="shared" ref="H115:H155" si="8">F115*G115</f>
        <v>638968.68999999959</v>
      </c>
      <c r="I115" s="36">
        <f>H115</f>
        <v>638968.68999999959</v>
      </c>
      <c r="J115" s="37" t="s">
        <v>151</v>
      </c>
      <c r="L115" s="18">
        <f t="shared" si="5"/>
        <v>0</v>
      </c>
    </row>
    <row r="116" spans="1:12" s="17" customFormat="1" ht="68.25" customHeight="1" x14ac:dyDescent="0.2">
      <c r="A116" s="39">
        <v>106</v>
      </c>
      <c r="B116" s="26" t="s">
        <v>402</v>
      </c>
      <c r="C116" s="14" t="s">
        <v>2</v>
      </c>
      <c r="D116" s="26" t="s">
        <v>403</v>
      </c>
      <c r="E116" s="35" t="s">
        <v>66</v>
      </c>
      <c r="F116" s="35">
        <v>2</v>
      </c>
      <c r="G116" s="38">
        <f>373700</f>
        <v>373700</v>
      </c>
      <c r="H116" s="36">
        <f t="shared" si="8"/>
        <v>747400</v>
      </c>
      <c r="I116" s="36">
        <f>H116</f>
        <v>747400</v>
      </c>
      <c r="J116" s="37" t="s">
        <v>151</v>
      </c>
      <c r="L116" s="18">
        <f t="shared" si="5"/>
        <v>0</v>
      </c>
    </row>
    <row r="117" spans="1:12" s="17" customFormat="1" ht="69.75" customHeight="1" x14ac:dyDescent="0.2">
      <c r="A117" s="39">
        <v>107</v>
      </c>
      <c r="B117" s="26" t="s">
        <v>402</v>
      </c>
      <c r="C117" s="14" t="s">
        <v>2</v>
      </c>
      <c r="D117" s="26" t="s">
        <v>403</v>
      </c>
      <c r="E117" s="35" t="s">
        <v>66</v>
      </c>
      <c r="F117" s="35">
        <v>1</v>
      </c>
      <c r="G117" s="38">
        <f>3186352*1.07</f>
        <v>3409396.64</v>
      </c>
      <c r="H117" s="36">
        <f t="shared" si="8"/>
        <v>3409396.64</v>
      </c>
      <c r="I117" s="36">
        <f t="shared" ref="I117:I169" si="9">H117</f>
        <v>3409396.64</v>
      </c>
      <c r="J117" s="37" t="s">
        <v>151</v>
      </c>
      <c r="L117" s="18">
        <f t="shared" si="5"/>
        <v>0</v>
      </c>
    </row>
    <row r="118" spans="1:12" s="17" customFormat="1" ht="66" customHeight="1" x14ac:dyDescent="0.2">
      <c r="A118" s="39">
        <v>108</v>
      </c>
      <c r="B118" s="26" t="s">
        <v>402</v>
      </c>
      <c r="C118" s="14" t="s">
        <v>2</v>
      </c>
      <c r="D118" s="26" t="s">
        <v>403</v>
      </c>
      <c r="E118" s="35" t="s">
        <v>66</v>
      </c>
      <c r="F118" s="35">
        <v>1</v>
      </c>
      <c r="G118" s="38">
        <v>170000</v>
      </c>
      <c r="H118" s="36">
        <f t="shared" si="8"/>
        <v>170000</v>
      </c>
      <c r="I118" s="36">
        <f t="shared" si="9"/>
        <v>170000</v>
      </c>
      <c r="J118" s="37" t="s">
        <v>151</v>
      </c>
      <c r="L118" s="18">
        <f t="shared" si="5"/>
        <v>0</v>
      </c>
    </row>
    <row r="119" spans="1:12" s="17" customFormat="1" ht="52.5" customHeight="1" x14ac:dyDescent="0.2">
      <c r="A119" s="39">
        <v>109</v>
      </c>
      <c r="B119" s="26" t="s">
        <v>345</v>
      </c>
      <c r="C119" s="14" t="s">
        <v>2</v>
      </c>
      <c r="D119" s="26" t="s">
        <v>346</v>
      </c>
      <c r="E119" s="35" t="s">
        <v>66</v>
      </c>
      <c r="F119" s="35">
        <v>5</v>
      </c>
      <c r="G119" s="38">
        <f>155623*1.07</f>
        <v>166516.61000000002</v>
      </c>
      <c r="H119" s="36">
        <f t="shared" si="8"/>
        <v>832583.05</v>
      </c>
      <c r="I119" s="36">
        <f t="shared" si="9"/>
        <v>832583.05</v>
      </c>
      <c r="J119" s="37" t="s">
        <v>151</v>
      </c>
      <c r="L119" s="18">
        <f t="shared" si="5"/>
        <v>0</v>
      </c>
    </row>
    <row r="120" spans="1:12" s="17" customFormat="1" ht="54.75" customHeight="1" x14ac:dyDescent="0.2">
      <c r="A120" s="39">
        <v>110</v>
      </c>
      <c r="B120" s="26" t="s">
        <v>341</v>
      </c>
      <c r="C120" s="14" t="s">
        <v>2</v>
      </c>
      <c r="D120" s="26" t="s">
        <v>342</v>
      </c>
      <c r="E120" s="35" t="s">
        <v>66</v>
      </c>
      <c r="F120" s="35">
        <v>5</v>
      </c>
      <c r="G120" s="38">
        <f>259543*1.07</f>
        <v>277711.01</v>
      </c>
      <c r="H120" s="36">
        <f t="shared" si="8"/>
        <v>1388555.05</v>
      </c>
      <c r="I120" s="36">
        <f t="shared" si="9"/>
        <v>1388555.05</v>
      </c>
      <c r="J120" s="37" t="s">
        <v>151</v>
      </c>
      <c r="L120" s="18">
        <f t="shared" si="5"/>
        <v>0</v>
      </c>
    </row>
    <row r="121" spans="1:12" s="17" customFormat="1" ht="65.25" customHeight="1" x14ac:dyDescent="0.2">
      <c r="A121" s="39">
        <v>111</v>
      </c>
      <c r="B121" s="26" t="s">
        <v>343</v>
      </c>
      <c r="C121" s="14" t="s">
        <v>2</v>
      </c>
      <c r="D121" s="26" t="s">
        <v>344</v>
      </c>
      <c r="E121" s="35" t="s">
        <v>66</v>
      </c>
      <c r="F121" s="35">
        <v>5</v>
      </c>
      <c r="G121" s="38">
        <f>128293</f>
        <v>128293</v>
      </c>
      <c r="H121" s="36">
        <f t="shared" si="8"/>
        <v>641465</v>
      </c>
      <c r="I121" s="36">
        <f t="shared" si="9"/>
        <v>641465</v>
      </c>
      <c r="J121" s="37" t="s">
        <v>151</v>
      </c>
      <c r="L121" s="18">
        <f t="shared" si="5"/>
        <v>0</v>
      </c>
    </row>
    <row r="122" spans="1:12" s="17" customFormat="1" ht="54" customHeight="1" x14ac:dyDescent="0.2">
      <c r="A122" s="39">
        <v>112</v>
      </c>
      <c r="B122" s="26" t="s">
        <v>347</v>
      </c>
      <c r="C122" s="14" t="s">
        <v>2</v>
      </c>
      <c r="D122" s="26" t="s">
        <v>348</v>
      </c>
      <c r="E122" s="35" t="s">
        <v>66</v>
      </c>
      <c r="F122" s="35">
        <v>4</v>
      </c>
      <c r="G122" s="38">
        <f>48535</f>
        <v>48535</v>
      </c>
      <c r="H122" s="36">
        <f t="shared" si="8"/>
        <v>194140</v>
      </c>
      <c r="I122" s="36">
        <f t="shared" si="9"/>
        <v>194140</v>
      </c>
      <c r="J122" s="37" t="s">
        <v>151</v>
      </c>
      <c r="L122" s="18">
        <f t="shared" si="5"/>
        <v>0</v>
      </c>
    </row>
    <row r="123" spans="1:12" s="17" customFormat="1" ht="41.25" customHeight="1" x14ac:dyDescent="0.2">
      <c r="A123" s="39">
        <v>113</v>
      </c>
      <c r="B123" s="26" t="s">
        <v>350</v>
      </c>
      <c r="C123" s="14" t="s">
        <v>2</v>
      </c>
      <c r="D123" s="26" t="s">
        <v>351</v>
      </c>
      <c r="E123" s="35" t="s">
        <v>66</v>
      </c>
      <c r="F123" s="35">
        <v>3</v>
      </c>
      <c r="G123" s="38">
        <f>719900*1.07</f>
        <v>770293</v>
      </c>
      <c r="H123" s="36">
        <f t="shared" si="8"/>
        <v>2310879</v>
      </c>
      <c r="I123" s="36">
        <f t="shared" si="9"/>
        <v>2310879</v>
      </c>
      <c r="J123" s="37" t="s">
        <v>151</v>
      </c>
      <c r="L123" s="18">
        <f t="shared" si="5"/>
        <v>0</v>
      </c>
    </row>
    <row r="124" spans="1:12" s="17" customFormat="1" ht="39.75" customHeight="1" x14ac:dyDescent="0.2">
      <c r="A124" s="39">
        <v>114</v>
      </c>
      <c r="B124" s="26" t="s">
        <v>350</v>
      </c>
      <c r="C124" s="14" t="s">
        <v>2</v>
      </c>
      <c r="D124" s="26" t="s">
        <v>351</v>
      </c>
      <c r="E124" s="35" t="s">
        <v>66</v>
      </c>
      <c r="F124" s="35">
        <v>2</v>
      </c>
      <c r="G124" s="38">
        <f>299900*1.07</f>
        <v>320893</v>
      </c>
      <c r="H124" s="36">
        <f t="shared" si="8"/>
        <v>641786</v>
      </c>
      <c r="I124" s="36">
        <f t="shared" si="9"/>
        <v>641786</v>
      </c>
      <c r="J124" s="37" t="s">
        <v>151</v>
      </c>
      <c r="L124" s="18">
        <f t="shared" si="5"/>
        <v>0</v>
      </c>
    </row>
    <row r="125" spans="1:12" s="17" customFormat="1" ht="49.5" customHeight="1" x14ac:dyDescent="0.2">
      <c r="A125" s="39">
        <v>115</v>
      </c>
      <c r="B125" s="26" t="s">
        <v>349</v>
      </c>
      <c r="C125" s="14" t="s">
        <v>2</v>
      </c>
      <c r="D125" s="26" t="s">
        <v>352</v>
      </c>
      <c r="E125" s="35" t="s">
        <v>66</v>
      </c>
      <c r="F125" s="35">
        <v>1</v>
      </c>
      <c r="G125" s="38">
        <f>84900*1.07</f>
        <v>90843</v>
      </c>
      <c r="H125" s="36">
        <f t="shared" si="8"/>
        <v>90843</v>
      </c>
      <c r="I125" s="36">
        <f t="shared" si="9"/>
        <v>90843</v>
      </c>
      <c r="J125" s="37" t="s">
        <v>151</v>
      </c>
      <c r="L125" s="18">
        <f t="shared" si="5"/>
        <v>0</v>
      </c>
    </row>
    <row r="126" spans="1:12" s="17" customFormat="1" ht="49.5" customHeight="1" x14ac:dyDescent="0.2">
      <c r="A126" s="39">
        <v>116</v>
      </c>
      <c r="B126" s="26" t="s">
        <v>353</v>
      </c>
      <c r="C126" s="14" t="s">
        <v>2</v>
      </c>
      <c r="D126" s="26" t="s">
        <v>354</v>
      </c>
      <c r="E126" s="35" t="s">
        <v>66</v>
      </c>
      <c r="F126" s="35">
        <v>2</v>
      </c>
      <c r="G126" s="38">
        <f>499900*1.07</f>
        <v>534893</v>
      </c>
      <c r="H126" s="36">
        <f t="shared" si="8"/>
        <v>1069786</v>
      </c>
      <c r="I126" s="36">
        <f t="shared" si="9"/>
        <v>1069786</v>
      </c>
      <c r="J126" s="37" t="s">
        <v>151</v>
      </c>
      <c r="L126" s="18">
        <f t="shared" si="5"/>
        <v>0</v>
      </c>
    </row>
    <row r="127" spans="1:12" s="17" customFormat="1" ht="48.75" customHeight="1" x14ac:dyDescent="0.2">
      <c r="A127" s="39">
        <v>117</v>
      </c>
      <c r="B127" s="26" t="s">
        <v>350</v>
      </c>
      <c r="C127" s="14" t="s">
        <v>2</v>
      </c>
      <c r="D127" s="26" t="s">
        <v>351</v>
      </c>
      <c r="E127" s="35" t="s">
        <v>66</v>
      </c>
      <c r="F127" s="35">
        <v>2</v>
      </c>
      <c r="G127" s="38">
        <f>719900*1.07</f>
        <v>770293</v>
      </c>
      <c r="H127" s="36">
        <f t="shared" si="8"/>
        <v>1540586</v>
      </c>
      <c r="I127" s="36">
        <f t="shared" si="9"/>
        <v>1540586</v>
      </c>
      <c r="J127" s="37" t="s">
        <v>151</v>
      </c>
      <c r="L127" s="18">
        <f t="shared" si="5"/>
        <v>0</v>
      </c>
    </row>
    <row r="128" spans="1:12" s="17" customFormat="1" ht="42" customHeight="1" x14ac:dyDescent="0.2">
      <c r="A128" s="39">
        <v>118</v>
      </c>
      <c r="B128" s="26" t="s">
        <v>350</v>
      </c>
      <c r="C128" s="14" t="s">
        <v>2</v>
      </c>
      <c r="D128" s="26" t="s">
        <v>351</v>
      </c>
      <c r="E128" s="35" t="s">
        <v>66</v>
      </c>
      <c r="F128" s="35">
        <v>1</v>
      </c>
      <c r="G128" s="38">
        <f>299900*1.07</f>
        <v>320893</v>
      </c>
      <c r="H128" s="36">
        <f t="shared" si="8"/>
        <v>320893</v>
      </c>
      <c r="I128" s="36">
        <f t="shared" si="9"/>
        <v>320893</v>
      </c>
      <c r="J128" s="37" t="s">
        <v>151</v>
      </c>
      <c r="L128" s="18">
        <f t="shared" si="5"/>
        <v>0</v>
      </c>
    </row>
    <row r="129" spans="1:12" s="17" customFormat="1" ht="54" customHeight="1" x14ac:dyDescent="0.2">
      <c r="A129" s="39">
        <v>119</v>
      </c>
      <c r="B129" s="26" t="s">
        <v>355</v>
      </c>
      <c r="C129" s="14" t="s">
        <v>2</v>
      </c>
      <c r="D129" s="26" t="s">
        <v>356</v>
      </c>
      <c r="E129" s="35" t="s">
        <v>66</v>
      </c>
      <c r="F129" s="35">
        <v>1</v>
      </c>
      <c r="G129" s="38">
        <f>409900*1.07</f>
        <v>438593</v>
      </c>
      <c r="H129" s="36">
        <f t="shared" si="8"/>
        <v>438593</v>
      </c>
      <c r="I129" s="36">
        <f t="shared" si="9"/>
        <v>438593</v>
      </c>
      <c r="J129" s="37" t="s">
        <v>151</v>
      </c>
      <c r="L129" s="18">
        <f t="shared" si="5"/>
        <v>0</v>
      </c>
    </row>
    <row r="130" spans="1:12" s="17" customFormat="1" ht="52.5" customHeight="1" x14ac:dyDescent="0.2">
      <c r="A130" s="39">
        <v>120</v>
      </c>
      <c r="B130" s="26" t="s">
        <v>357</v>
      </c>
      <c r="C130" s="14" t="s">
        <v>2</v>
      </c>
      <c r="D130" s="26" t="s">
        <v>358</v>
      </c>
      <c r="E130" s="35" t="s">
        <v>66</v>
      </c>
      <c r="F130" s="35">
        <v>2</v>
      </c>
      <c r="G130" s="38">
        <f>126900*1.07</f>
        <v>135783</v>
      </c>
      <c r="H130" s="36">
        <f t="shared" si="8"/>
        <v>271566</v>
      </c>
      <c r="I130" s="36">
        <f t="shared" si="9"/>
        <v>271566</v>
      </c>
      <c r="J130" s="37" t="s">
        <v>151</v>
      </c>
      <c r="L130" s="18">
        <f t="shared" si="5"/>
        <v>0</v>
      </c>
    </row>
    <row r="131" spans="1:12" s="17" customFormat="1" ht="51.75" customHeight="1" x14ac:dyDescent="0.2">
      <c r="A131" s="39">
        <v>121</v>
      </c>
      <c r="B131" s="26" t="s">
        <v>359</v>
      </c>
      <c r="C131" s="14" t="s">
        <v>2</v>
      </c>
      <c r="D131" s="26" t="s">
        <v>360</v>
      </c>
      <c r="E131" s="35" t="s">
        <v>66</v>
      </c>
      <c r="F131" s="35">
        <v>6</v>
      </c>
      <c r="G131" s="38">
        <f>123900*1.07</f>
        <v>132573</v>
      </c>
      <c r="H131" s="36">
        <f t="shared" si="8"/>
        <v>795438</v>
      </c>
      <c r="I131" s="36">
        <f t="shared" si="9"/>
        <v>795438</v>
      </c>
      <c r="J131" s="37" t="s">
        <v>151</v>
      </c>
      <c r="L131" s="18">
        <f t="shared" si="5"/>
        <v>0</v>
      </c>
    </row>
    <row r="132" spans="1:12" s="17" customFormat="1" ht="52.5" customHeight="1" x14ac:dyDescent="0.2">
      <c r="A132" s="39">
        <v>122</v>
      </c>
      <c r="B132" s="26" t="s">
        <v>361</v>
      </c>
      <c r="C132" s="14" t="s">
        <v>2</v>
      </c>
      <c r="D132" s="26" t="s">
        <v>362</v>
      </c>
      <c r="E132" s="35" t="s">
        <v>66</v>
      </c>
      <c r="F132" s="35">
        <v>3</v>
      </c>
      <c r="G132" s="38">
        <f>185900*1.07</f>
        <v>198913</v>
      </c>
      <c r="H132" s="36">
        <f t="shared" si="8"/>
        <v>596739</v>
      </c>
      <c r="I132" s="36">
        <f t="shared" si="9"/>
        <v>596739</v>
      </c>
      <c r="J132" s="37" t="s">
        <v>151</v>
      </c>
      <c r="L132" s="18">
        <f t="shared" si="5"/>
        <v>0</v>
      </c>
    </row>
    <row r="133" spans="1:12" s="17" customFormat="1" ht="57.75" customHeight="1" x14ac:dyDescent="0.2">
      <c r="A133" s="39">
        <v>123</v>
      </c>
      <c r="B133" s="26" t="s">
        <v>363</v>
      </c>
      <c r="C133" s="14" t="s">
        <v>2</v>
      </c>
      <c r="D133" s="26" t="s">
        <v>364</v>
      </c>
      <c r="E133" s="35" t="s">
        <v>66</v>
      </c>
      <c r="F133" s="35">
        <v>34</v>
      </c>
      <c r="G133" s="38">
        <f>82900*1.07</f>
        <v>88703</v>
      </c>
      <c r="H133" s="36">
        <f>F133*G133</f>
        <v>3015902</v>
      </c>
      <c r="I133" s="36">
        <f t="shared" si="9"/>
        <v>3015902</v>
      </c>
      <c r="J133" s="37" t="s">
        <v>151</v>
      </c>
      <c r="L133" s="18">
        <f t="shared" si="5"/>
        <v>0</v>
      </c>
    </row>
    <row r="134" spans="1:12" s="17" customFormat="1" ht="50.25" customHeight="1" x14ac:dyDescent="0.2">
      <c r="A134" s="39">
        <v>124</v>
      </c>
      <c r="B134" s="26" t="s">
        <v>365</v>
      </c>
      <c r="C134" s="14" t="s">
        <v>2</v>
      </c>
      <c r="D134" s="26" t="s">
        <v>366</v>
      </c>
      <c r="E134" s="35" t="s">
        <v>66</v>
      </c>
      <c r="F134" s="35">
        <v>5</v>
      </c>
      <c r="G134" s="38">
        <f>655356.8</f>
        <v>655356.80000000005</v>
      </c>
      <c r="H134" s="36">
        <f t="shared" si="8"/>
        <v>3276784</v>
      </c>
      <c r="I134" s="36">
        <f t="shared" si="9"/>
        <v>3276784</v>
      </c>
      <c r="J134" s="37" t="s">
        <v>151</v>
      </c>
      <c r="L134" s="18">
        <f t="shared" si="5"/>
        <v>0</v>
      </c>
    </row>
    <row r="135" spans="1:12" s="17" customFormat="1" ht="72" customHeight="1" x14ac:dyDescent="0.2">
      <c r="A135" s="39">
        <v>125</v>
      </c>
      <c r="B135" s="26" t="s">
        <v>152</v>
      </c>
      <c r="C135" s="14" t="s">
        <v>2</v>
      </c>
      <c r="D135" s="26" t="s">
        <v>241</v>
      </c>
      <c r="E135" s="35" t="s">
        <v>66</v>
      </c>
      <c r="F135" s="35">
        <v>1</v>
      </c>
      <c r="G135" s="38">
        <f>2*7061904+2*328000+1330192</f>
        <v>16110000</v>
      </c>
      <c r="H135" s="36">
        <f t="shared" si="8"/>
        <v>16110000</v>
      </c>
      <c r="I135" s="36">
        <f t="shared" si="9"/>
        <v>16110000</v>
      </c>
      <c r="J135" s="37" t="s">
        <v>151</v>
      </c>
      <c r="L135" s="18">
        <f t="shared" si="5"/>
        <v>0</v>
      </c>
    </row>
    <row r="136" spans="1:12" s="17" customFormat="1" ht="71.25" customHeight="1" x14ac:dyDescent="0.2">
      <c r="A136" s="39">
        <v>126</v>
      </c>
      <c r="B136" s="26" t="s">
        <v>367</v>
      </c>
      <c r="C136" s="14" t="s">
        <v>2</v>
      </c>
      <c r="D136" s="26" t="s">
        <v>369</v>
      </c>
      <c r="E136" s="35" t="s">
        <v>66</v>
      </c>
      <c r="F136" s="35">
        <v>1</v>
      </c>
      <c r="G136" s="38">
        <f>589300*1.07</f>
        <v>630551</v>
      </c>
      <c r="H136" s="36">
        <f>F136*G136</f>
        <v>630551</v>
      </c>
      <c r="I136" s="36">
        <f t="shared" si="9"/>
        <v>630551</v>
      </c>
      <c r="J136" s="37" t="s">
        <v>151</v>
      </c>
      <c r="L136" s="18">
        <f t="shared" si="5"/>
        <v>0</v>
      </c>
    </row>
    <row r="137" spans="1:12" s="17" customFormat="1" ht="57" customHeight="1" x14ac:dyDescent="0.2">
      <c r="A137" s="39">
        <v>127</v>
      </c>
      <c r="B137" s="26" t="s">
        <v>368</v>
      </c>
      <c r="C137" s="14" t="s">
        <v>2</v>
      </c>
      <c r="D137" s="26" t="s">
        <v>370</v>
      </c>
      <c r="E137" s="35" t="s">
        <v>66</v>
      </c>
      <c r="F137" s="35">
        <v>1</v>
      </c>
      <c r="G137" s="38">
        <f>1245800*1.07</f>
        <v>1333006</v>
      </c>
      <c r="H137" s="36">
        <f t="shared" si="8"/>
        <v>1333006</v>
      </c>
      <c r="I137" s="36">
        <f t="shared" si="9"/>
        <v>1333006</v>
      </c>
      <c r="J137" s="37" t="s">
        <v>151</v>
      </c>
      <c r="L137" s="18">
        <f t="shared" si="5"/>
        <v>0</v>
      </c>
    </row>
    <row r="138" spans="1:12" s="17" customFormat="1" ht="53.25" customHeight="1" x14ac:dyDescent="0.2">
      <c r="A138" s="39">
        <v>128</v>
      </c>
      <c r="B138" s="26" t="s">
        <v>371</v>
      </c>
      <c r="C138" s="14" t="s">
        <v>2</v>
      </c>
      <c r="D138" s="26" t="s">
        <v>372</v>
      </c>
      <c r="E138" s="35" t="s">
        <v>66</v>
      </c>
      <c r="F138" s="35">
        <v>1</v>
      </c>
      <c r="G138" s="38">
        <f>161700*1.07</f>
        <v>173019</v>
      </c>
      <c r="H138" s="36">
        <f t="shared" si="8"/>
        <v>173019</v>
      </c>
      <c r="I138" s="36">
        <f t="shared" si="9"/>
        <v>173019</v>
      </c>
      <c r="J138" s="37" t="s">
        <v>151</v>
      </c>
      <c r="L138" s="18">
        <f t="shared" si="5"/>
        <v>0</v>
      </c>
    </row>
    <row r="139" spans="1:12" s="17" customFormat="1" ht="54.75" customHeight="1" x14ac:dyDescent="0.2">
      <c r="A139" s="39">
        <v>129</v>
      </c>
      <c r="B139" s="26" t="s">
        <v>373</v>
      </c>
      <c r="C139" s="14" t="s">
        <v>2</v>
      </c>
      <c r="D139" s="26" t="s">
        <v>374</v>
      </c>
      <c r="E139" s="35" t="s">
        <v>66</v>
      </c>
      <c r="F139" s="35">
        <v>1</v>
      </c>
      <c r="G139" s="38">
        <f>572400*1.07</f>
        <v>612468</v>
      </c>
      <c r="H139" s="36">
        <f t="shared" si="8"/>
        <v>612468</v>
      </c>
      <c r="I139" s="36">
        <f t="shared" si="9"/>
        <v>612468</v>
      </c>
      <c r="J139" s="37" t="s">
        <v>151</v>
      </c>
      <c r="L139" s="18">
        <f t="shared" si="5"/>
        <v>0</v>
      </c>
    </row>
    <row r="140" spans="1:12" s="17" customFormat="1" ht="52.5" customHeight="1" x14ac:dyDescent="0.2">
      <c r="A140" s="39">
        <v>130</v>
      </c>
      <c r="B140" s="26" t="s">
        <v>375</v>
      </c>
      <c r="C140" s="14" t="s">
        <v>2</v>
      </c>
      <c r="D140" s="26" t="s">
        <v>376</v>
      </c>
      <c r="E140" s="35" t="s">
        <v>66</v>
      </c>
      <c r="F140" s="35">
        <v>2</v>
      </c>
      <c r="G140" s="38">
        <f>293000*1.07</f>
        <v>313510</v>
      </c>
      <c r="H140" s="36">
        <f t="shared" si="8"/>
        <v>627020</v>
      </c>
      <c r="I140" s="36">
        <f t="shared" si="9"/>
        <v>627020</v>
      </c>
      <c r="J140" s="37" t="s">
        <v>151</v>
      </c>
      <c r="L140" s="18">
        <f t="shared" ref="L140:L204" si="10">I140-H140</f>
        <v>0</v>
      </c>
    </row>
    <row r="141" spans="1:12" s="17" customFormat="1" ht="55.5" customHeight="1" x14ac:dyDescent="0.2">
      <c r="A141" s="39">
        <v>131</v>
      </c>
      <c r="B141" s="26" t="s">
        <v>377</v>
      </c>
      <c r="C141" s="14" t="s">
        <v>2</v>
      </c>
      <c r="D141" s="26" t="s">
        <v>378</v>
      </c>
      <c r="E141" s="35" t="s">
        <v>66</v>
      </c>
      <c r="F141" s="35">
        <v>2</v>
      </c>
      <c r="G141" s="38">
        <f>80900*1.07</f>
        <v>86563</v>
      </c>
      <c r="H141" s="36">
        <f t="shared" si="8"/>
        <v>173126</v>
      </c>
      <c r="I141" s="36">
        <f t="shared" si="9"/>
        <v>173126</v>
      </c>
      <c r="J141" s="37" t="s">
        <v>151</v>
      </c>
      <c r="L141" s="18">
        <f t="shared" si="10"/>
        <v>0</v>
      </c>
    </row>
    <row r="142" spans="1:12" s="17" customFormat="1" ht="41.25" customHeight="1" x14ac:dyDescent="0.2">
      <c r="A142" s="39">
        <v>132</v>
      </c>
      <c r="B142" s="26" t="s">
        <v>379</v>
      </c>
      <c r="C142" s="14" t="s">
        <v>2</v>
      </c>
      <c r="D142" s="26" t="s">
        <v>380</v>
      </c>
      <c r="E142" s="35" t="s">
        <v>66</v>
      </c>
      <c r="F142" s="35">
        <v>2</v>
      </c>
      <c r="G142" s="38">
        <f>429990*1.07</f>
        <v>460089.30000000005</v>
      </c>
      <c r="H142" s="36">
        <f t="shared" si="8"/>
        <v>920178.60000000009</v>
      </c>
      <c r="I142" s="36">
        <f t="shared" si="9"/>
        <v>920178.60000000009</v>
      </c>
      <c r="J142" s="37" t="s">
        <v>151</v>
      </c>
      <c r="L142" s="18">
        <f t="shared" si="10"/>
        <v>0</v>
      </c>
    </row>
    <row r="143" spans="1:12" s="17" customFormat="1" ht="57.75" customHeight="1" x14ac:dyDescent="0.2">
      <c r="A143" s="39">
        <v>133</v>
      </c>
      <c r="B143" s="26" t="s">
        <v>381</v>
      </c>
      <c r="C143" s="14" t="s">
        <v>2</v>
      </c>
      <c r="D143" s="26" t="s">
        <v>382</v>
      </c>
      <c r="E143" s="35" t="s">
        <v>66</v>
      </c>
      <c r="F143" s="35">
        <v>1</v>
      </c>
      <c r="G143" s="38">
        <f>2170493*1.07</f>
        <v>2322427.5100000002</v>
      </c>
      <c r="H143" s="36">
        <f t="shared" si="8"/>
        <v>2322427.5100000002</v>
      </c>
      <c r="I143" s="36">
        <f t="shared" si="9"/>
        <v>2322427.5100000002</v>
      </c>
      <c r="J143" s="37" t="s">
        <v>151</v>
      </c>
      <c r="L143" s="18">
        <f t="shared" si="10"/>
        <v>0</v>
      </c>
    </row>
    <row r="144" spans="1:12" s="17" customFormat="1" ht="69.75" customHeight="1" x14ac:dyDescent="0.2">
      <c r="A144" s="39">
        <v>134</v>
      </c>
      <c r="B144" s="26" t="s">
        <v>383</v>
      </c>
      <c r="C144" s="14" t="s">
        <v>2</v>
      </c>
      <c r="D144" s="26" t="s">
        <v>384</v>
      </c>
      <c r="E144" s="35" t="s">
        <v>66</v>
      </c>
      <c r="F144" s="35">
        <v>1</v>
      </c>
      <c r="G144" s="38">
        <f>920000*1.07</f>
        <v>984400</v>
      </c>
      <c r="H144" s="36">
        <f t="shared" si="8"/>
        <v>984400</v>
      </c>
      <c r="I144" s="36">
        <f t="shared" si="9"/>
        <v>984400</v>
      </c>
      <c r="J144" s="37" t="s">
        <v>151</v>
      </c>
      <c r="L144" s="18">
        <f t="shared" si="10"/>
        <v>0</v>
      </c>
    </row>
    <row r="145" spans="1:12" s="17" customFormat="1" ht="53.25" customHeight="1" x14ac:dyDescent="0.2">
      <c r="A145" s="39">
        <v>135</v>
      </c>
      <c r="B145" s="26" t="s">
        <v>385</v>
      </c>
      <c r="C145" s="14" t="s">
        <v>2</v>
      </c>
      <c r="D145" s="26" t="s">
        <v>386</v>
      </c>
      <c r="E145" s="35" t="s">
        <v>66</v>
      </c>
      <c r="F145" s="35">
        <v>5</v>
      </c>
      <c r="G145" s="38">
        <f>54900*1.07</f>
        <v>58743</v>
      </c>
      <c r="H145" s="36">
        <f t="shared" si="8"/>
        <v>293715</v>
      </c>
      <c r="I145" s="36">
        <f t="shared" si="9"/>
        <v>293715</v>
      </c>
      <c r="J145" s="37" t="s">
        <v>151</v>
      </c>
      <c r="L145" s="18">
        <f t="shared" si="10"/>
        <v>0</v>
      </c>
    </row>
    <row r="146" spans="1:12" s="17" customFormat="1" ht="53.25" customHeight="1" x14ac:dyDescent="0.2">
      <c r="A146" s="39">
        <v>136</v>
      </c>
      <c r="B146" s="26" t="s">
        <v>387</v>
      </c>
      <c r="C146" s="14" t="s">
        <v>2</v>
      </c>
      <c r="D146" s="26" t="s">
        <v>388</v>
      </c>
      <c r="E146" s="35" t="s">
        <v>66</v>
      </c>
      <c r="F146" s="35">
        <v>20</v>
      </c>
      <c r="G146" s="38">
        <f>44900*1.07</f>
        <v>48043</v>
      </c>
      <c r="H146" s="36">
        <f t="shared" si="8"/>
        <v>960860</v>
      </c>
      <c r="I146" s="36">
        <f t="shared" si="9"/>
        <v>960860</v>
      </c>
      <c r="J146" s="37" t="s">
        <v>151</v>
      </c>
      <c r="L146" s="18">
        <f t="shared" si="10"/>
        <v>0</v>
      </c>
    </row>
    <row r="147" spans="1:12" s="17" customFormat="1" ht="53.25" customHeight="1" x14ac:dyDescent="0.2">
      <c r="A147" s="39">
        <v>137</v>
      </c>
      <c r="B147" s="26" t="s">
        <v>99</v>
      </c>
      <c r="C147" s="14" t="s">
        <v>2</v>
      </c>
      <c r="D147" s="26" t="s">
        <v>242</v>
      </c>
      <c r="E147" s="35" t="s">
        <v>66</v>
      </c>
      <c r="F147" s="35">
        <v>2</v>
      </c>
      <c r="G147" s="38">
        <f>125315*1.07</f>
        <v>134087.05000000002</v>
      </c>
      <c r="H147" s="36">
        <f t="shared" si="8"/>
        <v>268174.10000000003</v>
      </c>
      <c r="I147" s="36">
        <f t="shared" si="9"/>
        <v>268174.10000000003</v>
      </c>
      <c r="J147" s="37" t="s">
        <v>151</v>
      </c>
      <c r="L147" s="18">
        <f t="shared" si="10"/>
        <v>0</v>
      </c>
    </row>
    <row r="148" spans="1:12" s="17" customFormat="1" ht="54" customHeight="1" x14ac:dyDescent="0.2">
      <c r="A148" s="39">
        <v>138</v>
      </c>
      <c r="B148" s="26" t="s">
        <v>100</v>
      </c>
      <c r="C148" s="14" t="s">
        <v>2</v>
      </c>
      <c r="D148" s="26" t="s">
        <v>243</v>
      </c>
      <c r="E148" s="35" t="s">
        <v>66</v>
      </c>
      <c r="F148" s="35">
        <v>1</v>
      </c>
      <c r="G148" s="38">
        <f>116380*1.07</f>
        <v>124526.6</v>
      </c>
      <c r="H148" s="36">
        <f t="shared" si="8"/>
        <v>124526.6</v>
      </c>
      <c r="I148" s="36">
        <f t="shared" si="9"/>
        <v>124526.6</v>
      </c>
      <c r="J148" s="37" t="s">
        <v>151</v>
      </c>
      <c r="L148" s="18">
        <f t="shared" si="10"/>
        <v>0</v>
      </c>
    </row>
    <row r="149" spans="1:12" s="17" customFormat="1" ht="49.5" customHeight="1" x14ac:dyDescent="0.2">
      <c r="A149" s="39">
        <v>139</v>
      </c>
      <c r="B149" s="26" t="s">
        <v>101</v>
      </c>
      <c r="C149" s="14" t="s">
        <v>2</v>
      </c>
      <c r="D149" s="26" t="s">
        <v>244</v>
      </c>
      <c r="E149" s="35" t="s">
        <v>66</v>
      </c>
      <c r="F149" s="35">
        <v>10</v>
      </c>
      <c r="G149" s="38">
        <f>18990*1.07</f>
        <v>20319.300000000003</v>
      </c>
      <c r="H149" s="36">
        <f t="shared" si="8"/>
        <v>203193.00000000003</v>
      </c>
      <c r="I149" s="36">
        <f t="shared" si="9"/>
        <v>203193.00000000003</v>
      </c>
      <c r="J149" s="37" t="s">
        <v>151</v>
      </c>
      <c r="L149" s="18">
        <f t="shared" si="10"/>
        <v>0</v>
      </c>
    </row>
    <row r="150" spans="1:12" s="17" customFormat="1" ht="57" customHeight="1" x14ac:dyDescent="0.2">
      <c r="A150" s="39">
        <v>140</v>
      </c>
      <c r="B150" s="26" t="s">
        <v>102</v>
      </c>
      <c r="C150" s="14" t="s">
        <v>2</v>
      </c>
      <c r="D150" s="26" t="s">
        <v>245</v>
      </c>
      <c r="E150" s="35" t="s">
        <v>66</v>
      </c>
      <c r="F150" s="35">
        <v>3</v>
      </c>
      <c r="G150" s="38">
        <f>38490*1.07</f>
        <v>41184.300000000003</v>
      </c>
      <c r="H150" s="36">
        <f t="shared" si="8"/>
        <v>123552.90000000001</v>
      </c>
      <c r="I150" s="36">
        <f t="shared" si="9"/>
        <v>123552.90000000001</v>
      </c>
      <c r="J150" s="37" t="s">
        <v>151</v>
      </c>
      <c r="L150" s="18">
        <f t="shared" si="10"/>
        <v>0</v>
      </c>
    </row>
    <row r="151" spans="1:12" s="17" customFormat="1" ht="51.75" customHeight="1" x14ac:dyDescent="0.2">
      <c r="A151" s="39">
        <v>141</v>
      </c>
      <c r="B151" s="26" t="s">
        <v>103</v>
      </c>
      <c r="C151" s="14" t="s">
        <v>2</v>
      </c>
      <c r="D151" s="26" t="s">
        <v>246</v>
      </c>
      <c r="E151" s="35" t="s">
        <v>66</v>
      </c>
      <c r="F151" s="35">
        <v>2</v>
      </c>
      <c r="G151" s="38">
        <f>141500*1.07</f>
        <v>151405</v>
      </c>
      <c r="H151" s="36">
        <f>F151*G151</f>
        <v>302810</v>
      </c>
      <c r="I151" s="36">
        <f t="shared" si="9"/>
        <v>302810</v>
      </c>
      <c r="J151" s="37" t="s">
        <v>151</v>
      </c>
      <c r="L151" s="18">
        <f t="shared" si="10"/>
        <v>0</v>
      </c>
    </row>
    <row r="152" spans="1:12" s="17" customFormat="1" ht="48.75" customHeight="1" x14ac:dyDescent="0.2">
      <c r="A152" s="39">
        <v>142</v>
      </c>
      <c r="B152" s="26" t="s">
        <v>104</v>
      </c>
      <c r="C152" s="14" t="s">
        <v>2</v>
      </c>
      <c r="D152" s="26" t="s">
        <v>247</v>
      </c>
      <c r="E152" s="35" t="s">
        <v>66</v>
      </c>
      <c r="F152" s="35">
        <v>2</v>
      </c>
      <c r="G152" s="38">
        <f>107240*1.07</f>
        <v>114746.8</v>
      </c>
      <c r="H152" s="36">
        <f t="shared" si="8"/>
        <v>229493.6</v>
      </c>
      <c r="I152" s="36">
        <f t="shared" si="9"/>
        <v>229493.6</v>
      </c>
      <c r="J152" s="37" t="s">
        <v>151</v>
      </c>
      <c r="L152" s="18">
        <f t="shared" si="10"/>
        <v>0</v>
      </c>
    </row>
    <row r="153" spans="1:12" s="17" customFormat="1" ht="48.75" customHeight="1" x14ac:dyDescent="0.2">
      <c r="A153" s="39">
        <v>143</v>
      </c>
      <c r="B153" s="26" t="s">
        <v>105</v>
      </c>
      <c r="C153" s="14" t="s">
        <v>2</v>
      </c>
      <c r="D153" s="26" t="s">
        <v>248</v>
      </c>
      <c r="E153" s="35" t="s">
        <v>66</v>
      </c>
      <c r="F153" s="35">
        <v>1</v>
      </c>
      <c r="G153" s="38">
        <f>28405*1.07</f>
        <v>30393.350000000002</v>
      </c>
      <c r="H153" s="36">
        <f t="shared" si="8"/>
        <v>30393.350000000002</v>
      </c>
      <c r="I153" s="36">
        <f t="shared" si="9"/>
        <v>30393.350000000002</v>
      </c>
      <c r="J153" s="37" t="s">
        <v>151</v>
      </c>
      <c r="L153" s="18">
        <f t="shared" si="10"/>
        <v>0</v>
      </c>
    </row>
    <row r="154" spans="1:12" s="17" customFormat="1" ht="48" customHeight="1" x14ac:dyDescent="0.2">
      <c r="A154" s="39">
        <v>144</v>
      </c>
      <c r="B154" s="26" t="s">
        <v>106</v>
      </c>
      <c r="C154" s="14" t="s">
        <v>2</v>
      </c>
      <c r="D154" s="26" t="s">
        <v>249</v>
      </c>
      <c r="E154" s="35" t="s">
        <v>66</v>
      </c>
      <c r="F154" s="35">
        <v>1</v>
      </c>
      <c r="G154" s="38">
        <f>40080*1.07</f>
        <v>42885.600000000006</v>
      </c>
      <c r="H154" s="36">
        <f t="shared" si="8"/>
        <v>42885.600000000006</v>
      </c>
      <c r="I154" s="36">
        <f t="shared" si="9"/>
        <v>42885.600000000006</v>
      </c>
      <c r="J154" s="37" t="s">
        <v>151</v>
      </c>
      <c r="L154" s="18">
        <f t="shared" si="10"/>
        <v>0</v>
      </c>
    </row>
    <row r="155" spans="1:12" s="17" customFormat="1" ht="48" customHeight="1" x14ac:dyDescent="0.2">
      <c r="A155" s="39">
        <v>145</v>
      </c>
      <c r="B155" s="26" t="s">
        <v>153</v>
      </c>
      <c r="C155" s="14" t="s">
        <v>2</v>
      </c>
      <c r="D155" s="26" t="s">
        <v>250</v>
      </c>
      <c r="E155" s="35" t="s">
        <v>66</v>
      </c>
      <c r="F155" s="35">
        <v>1</v>
      </c>
      <c r="G155" s="38">
        <f>13885*1.07</f>
        <v>14856.95</v>
      </c>
      <c r="H155" s="36">
        <f t="shared" si="8"/>
        <v>14856.95</v>
      </c>
      <c r="I155" s="36">
        <f t="shared" si="9"/>
        <v>14856.95</v>
      </c>
      <c r="J155" s="37" t="s">
        <v>151</v>
      </c>
      <c r="L155" s="18">
        <f t="shared" si="10"/>
        <v>0</v>
      </c>
    </row>
    <row r="156" spans="1:12" s="17" customFormat="1" ht="48" customHeight="1" x14ac:dyDescent="0.2">
      <c r="A156" s="39">
        <v>146</v>
      </c>
      <c r="B156" s="26" t="s">
        <v>108</v>
      </c>
      <c r="C156" s="14" t="s">
        <v>290</v>
      </c>
      <c r="D156" s="26" t="s">
        <v>111</v>
      </c>
      <c r="E156" s="35" t="s">
        <v>66</v>
      </c>
      <c r="F156" s="35">
        <v>1000</v>
      </c>
      <c r="G156" s="38">
        <v>55</v>
      </c>
      <c r="H156" s="36">
        <f t="shared" ref="H156:H169" si="11">F156*G156</f>
        <v>55000</v>
      </c>
      <c r="I156" s="36">
        <f t="shared" si="9"/>
        <v>55000</v>
      </c>
      <c r="J156" s="37" t="s">
        <v>151</v>
      </c>
      <c r="L156" s="18">
        <f t="shared" si="10"/>
        <v>0</v>
      </c>
    </row>
    <row r="157" spans="1:12" s="17" customFormat="1" ht="48" customHeight="1" x14ac:dyDescent="0.2">
      <c r="A157" s="39">
        <v>147</v>
      </c>
      <c r="B157" s="26" t="s">
        <v>391</v>
      </c>
      <c r="C157" s="14" t="s">
        <v>290</v>
      </c>
      <c r="D157" s="26" t="s">
        <v>406</v>
      </c>
      <c r="E157" s="35" t="s">
        <v>66</v>
      </c>
      <c r="F157" s="35">
        <v>20</v>
      </c>
      <c r="G157" s="38">
        <v>4020</v>
      </c>
      <c r="H157" s="36">
        <f t="shared" si="11"/>
        <v>80400</v>
      </c>
      <c r="I157" s="36">
        <f t="shared" si="9"/>
        <v>80400</v>
      </c>
      <c r="J157" s="37" t="s">
        <v>151</v>
      </c>
      <c r="L157" s="18">
        <f t="shared" si="10"/>
        <v>0</v>
      </c>
    </row>
    <row r="158" spans="1:12" s="17" customFormat="1" ht="48" customHeight="1" x14ac:dyDescent="0.2">
      <c r="A158" s="39">
        <v>148</v>
      </c>
      <c r="B158" s="26" t="s">
        <v>109</v>
      </c>
      <c r="C158" s="14" t="s">
        <v>290</v>
      </c>
      <c r="D158" s="26" t="s">
        <v>112</v>
      </c>
      <c r="E158" s="35" t="s">
        <v>66</v>
      </c>
      <c r="F158" s="35">
        <f>20*50</f>
        <v>1000</v>
      </c>
      <c r="G158" s="38">
        <v>48</v>
      </c>
      <c r="H158" s="36">
        <f t="shared" si="11"/>
        <v>48000</v>
      </c>
      <c r="I158" s="36">
        <f t="shared" si="9"/>
        <v>48000</v>
      </c>
      <c r="J158" s="37" t="s">
        <v>151</v>
      </c>
      <c r="L158" s="18">
        <f t="shared" si="10"/>
        <v>0</v>
      </c>
    </row>
    <row r="159" spans="1:12" s="17" customFormat="1" ht="48" customHeight="1" x14ac:dyDescent="0.2">
      <c r="A159" s="39">
        <v>149</v>
      </c>
      <c r="B159" s="26" t="s">
        <v>392</v>
      </c>
      <c r="C159" s="14" t="s">
        <v>290</v>
      </c>
      <c r="D159" s="26" t="s">
        <v>407</v>
      </c>
      <c r="E159" s="35" t="s">
        <v>66</v>
      </c>
      <c r="F159" s="35">
        <v>315</v>
      </c>
      <c r="G159" s="38">
        <v>2050</v>
      </c>
      <c r="H159" s="36">
        <f t="shared" si="11"/>
        <v>645750</v>
      </c>
      <c r="I159" s="36">
        <f t="shared" si="9"/>
        <v>645750</v>
      </c>
      <c r="J159" s="37" t="s">
        <v>151</v>
      </c>
      <c r="L159" s="18">
        <f t="shared" si="10"/>
        <v>0</v>
      </c>
    </row>
    <row r="160" spans="1:12" s="17" customFormat="1" ht="48" customHeight="1" x14ac:dyDescent="0.2">
      <c r="A160" s="39">
        <v>150</v>
      </c>
      <c r="B160" s="26" t="s">
        <v>404</v>
      </c>
      <c r="C160" s="14" t="s">
        <v>290</v>
      </c>
      <c r="D160" s="26" t="s">
        <v>405</v>
      </c>
      <c r="E160" s="35" t="s">
        <v>66</v>
      </c>
      <c r="F160" s="35">
        <v>50</v>
      </c>
      <c r="G160" s="38">
        <v>1030</v>
      </c>
      <c r="H160" s="36">
        <f t="shared" si="11"/>
        <v>51500</v>
      </c>
      <c r="I160" s="36">
        <f t="shared" si="9"/>
        <v>51500</v>
      </c>
      <c r="J160" s="37" t="s">
        <v>151</v>
      </c>
      <c r="L160" s="18">
        <f t="shared" si="10"/>
        <v>0</v>
      </c>
    </row>
    <row r="161" spans="1:12" s="17" customFormat="1" ht="50.25" customHeight="1" x14ac:dyDescent="0.2">
      <c r="A161" s="39">
        <v>151</v>
      </c>
      <c r="B161" s="26" t="s">
        <v>393</v>
      </c>
      <c r="C161" s="14" t="s">
        <v>290</v>
      </c>
      <c r="D161" s="26" t="s">
        <v>408</v>
      </c>
      <c r="E161" s="35" t="s">
        <v>66</v>
      </c>
      <c r="F161" s="35">
        <v>20</v>
      </c>
      <c r="G161" s="38">
        <v>4600</v>
      </c>
      <c r="H161" s="36">
        <f t="shared" si="11"/>
        <v>92000</v>
      </c>
      <c r="I161" s="36">
        <f t="shared" si="9"/>
        <v>92000</v>
      </c>
      <c r="J161" s="37" t="s">
        <v>151</v>
      </c>
      <c r="L161" s="18">
        <f t="shared" si="10"/>
        <v>0</v>
      </c>
    </row>
    <row r="162" spans="1:12" s="17" customFormat="1" ht="48" customHeight="1" x14ac:dyDescent="0.2">
      <c r="A162" s="39">
        <v>152</v>
      </c>
      <c r="B162" s="26" t="s">
        <v>394</v>
      </c>
      <c r="C162" s="14" t="s">
        <v>290</v>
      </c>
      <c r="D162" s="26" t="s">
        <v>409</v>
      </c>
      <c r="E162" s="35" t="s">
        <v>66</v>
      </c>
      <c r="F162" s="35">
        <v>20</v>
      </c>
      <c r="G162" s="38">
        <v>3500</v>
      </c>
      <c r="H162" s="36">
        <f t="shared" si="11"/>
        <v>70000</v>
      </c>
      <c r="I162" s="36">
        <f t="shared" si="9"/>
        <v>70000</v>
      </c>
      <c r="J162" s="37" t="s">
        <v>151</v>
      </c>
      <c r="L162" s="18">
        <f t="shared" si="10"/>
        <v>0</v>
      </c>
    </row>
    <row r="163" spans="1:12" s="17" customFormat="1" ht="45.75" customHeight="1" x14ac:dyDescent="0.2">
      <c r="A163" s="39">
        <v>153</v>
      </c>
      <c r="B163" s="26" t="s">
        <v>395</v>
      </c>
      <c r="C163" s="14" t="s">
        <v>290</v>
      </c>
      <c r="D163" s="26" t="s">
        <v>410</v>
      </c>
      <c r="E163" s="35" t="s">
        <v>66</v>
      </c>
      <c r="F163" s="35">
        <v>100</v>
      </c>
      <c r="G163" s="38">
        <v>1600</v>
      </c>
      <c r="H163" s="36">
        <f t="shared" si="11"/>
        <v>160000</v>
      </c>
      <c r="I163" s="36">
        <f t="shared" si="9"/>
        <v>160000</v>
      </c>
      <c r="J163" s="37" t="s">
        <v>151</v>
      </c>
      <c r="L163" s="18">
        <f t="shared" si="10"/>
        <v>0</v>
      </c>
    </row>
    <row r="164" spans="1:12" s="17" customFormat="1" ht="48" customHeight="1" x14ac:dyDescent="0.2">
      <c r="A164" s="39">
        <v>154</v>
      </c>
      <c r="B164" s="26" t="s">
        <v>396</v>
      </c>
      <c r="C164" s="14" t="s">
        <v>290</v>
      </c>
      <c r="D164" s="26" t="s">
        <v>113</v>
      </c>
      <c r="E164" s="35" t="s">
        <v>66</v>
      </c>
      <c r="F164" s="35">
        <v>150</v>
      </c>
      <c r="G164" s="38">
        <v>1050</v>
      </c>
      <c r="H164" s="36">
        <f t="shared" si="11"/>
        <v>157500</v>
      </c>
      <c r="I164" s="36">
        <f t="shared" si="9"/>
        <v>157500</v>
      </c>
      <c r="J164" s="37" t="s">
        <v>151</v>
      </c>
      <c r="L164" s="18">
        <f t="shared" si="10"/>
        <v>0</v>
      </c>
    </row>
    <row r="165" spans="1:12" s="17" customFormat="1" ht="48" customHeight="1" x14ac:dyDescent="0.2">
      <c r="A165" s="39">
        <v>155</v>
      </c>
      <c r="B165" s="26" t="s">
        <v>397</v>
      </c>
      <c r="C165" s="14" t="s">
        <v>290</v>
      </c>
      <c r="D165" s="26" t="s">
        <v>114</v>
      </c>
      <c r="E165" s="35" t="s">
        <v>66</v>
      </c>
      <c r="F165" s="35">
        <v>52</v>
      </c>
      <c r="G165" s="38">
        <v>405</v>
      </c>
      <c r="H165" s="36">
        <f t="shared" si="11"/>
        <v>21060</v>
      </c>
      <c r="I165" s="36">
        <f t="shared" si="9"/>
        <v>21060</v>
      </c>
      <c r="J165" s="37" t="s">
        <v>151</v>
      </c>
      <c r="L165" s="18">
        <f t="shared" si="10"/>
        <v>0</v>
      </c>
    </row>
    <row r="166" spans="1:12" s="17" customFormat="1" ht="48" customHeight="1" x14ac:dyDescent="0.2">
      <c r="A166" s="39">
        <v>156</v>
      </c>
      <c r="B166" s="26" t="s">
        <v>398</v>
      </c>
      <c r="C166" s="14" t="s">
        <v>290</v>
      </c>
      <c r="D166" s="26" t="s">
        <v>411</v>
      </c>
      <c r="E166" s="35" t="s">
        <v>66</v>
      </c>
      <c r="F166" s="35">
        <v>100</v>
      </c>
      <c r="G166" s="38">
        <v>450</v>
      </c>
      <c r="H166" s="36">
        <f t="shared" si="11"/>
        <v>45000</v>
      </c>
      <c r="I166" s="36">
        <f t="shared" si="9"/>
        <v>45000</v>
      </c>
      <c r="J166" s="37" t="s">
        <v>151</v>
      </c>
      <c r="L166" s="18">
        <f t="shared" si="10"/>
        <v>0</v>
      </c>
    </row>
    <row r="167" spans="1:12" s="17" customFormat="1" ht="48" customHeight="1" x14ac:dyDescent="0.2">
      <c r="A167" s="39">
        <v>157</v>
      </c>
      <c r="B167" s="26" t="s">
        <v>110</v>
      </c>
      <c r="C167" s="14" t="s">
        <v>290</v>
      </c>
      <c r="D167" s="26" t="s">
        <v>115</v>
      </c>
      <c r="E167" s="35" t="s">
        <v>66</v>
      </c>
      <c r="F167" s="35">
        <v>50</v>
      </c>
      <c r="G167" s="38">
        <v>1340</v>
      </c>
      <c r="H167" s="36">
        <f t="shared" si="11"/>
        <v>67000</v>
      </c>
      <c r="I167" s="36">
        <f t="shared" si="9"/>
        <v>67000</v>
      </c>
      <c r="J167" s="37" t="s">
        <v>151</v>
      </c>
      <c r="L167" s="18">
        <f t="shared" si="10"/>
        <v>0</v>
      </c>
    </row>
    <row r="168" spans="1:12" s="17" customFormat="1" ht="51" customHeight="1" x14ac:dyDescent="0.2">
      <c r="A168" s="39">
        <v>158</v>
      </c>
      <c r="B168" s="26" t="s">
        <v>399</v>
      </c>
      <c r="C168" s="14" t="s">
        <v>290</v>
      </c>
      <c r="D168" s="26" t="s">
        <v>116</v>
      </c>
      <c r="E168" s="35" t="s">
        <v>66</v>
      </c>
      <c r="F168" s="35">
        <v>50</v>
      </c>
      <c r="G168" s="38">
        <v>560</v>
      </c>
      <c r="H168" s="36">
        <f t="shared" si="11"/>
        <v>28000</v>
      </c>
      <c r="I168" s="36">
        <f t="shared" si="9"/>
        <v>28000</v>
      </c>
      <c r="J168" s="37" t="s">
        <v>151</v>
      </c>
      <c r="L168" s="18">
        <f t="shared" si="10"/>
        <v>0</v>
      </c>
    </row>
    <row r="169" spans="1:12" s="17" customFormat="1" ht="51" customHeight="1" x14ac:dyDescent="0.2">
      <c r="A169" s="39">
        <v>159</v>
      </c>
      <c r="B169" s="26" t="s">
        <v>400</v>
      </c>
      <c r="C169" s="14" t="s">
        <v>290</v>
      </c>
      <c r="D169" s="26" t="s">
        <v>412</v>
      </c>
      <c r="E169" s="35" t="s">
        <v>66</v>
      </c>
      <c r="F169" s="35">
        <v>1</v>
      </c>
      <c r="G169" s="38">
        <f>190400</f>
        <v>190400</v>
      </c>
      <c r="H169" s="36">
        <f t="shared" si="11"/>
        <v>190400</v>
      </c>
      <c r="I169" s="36">
        <f t="shared" si="9"/>
        <v>190400</v>
      </c>
      <c r="J169" s="37" t="s">
        <v>151</v>
      </c>
      <c r="L169" s="18">
        <f t="shared" si="10"/>
        <v>0</v>
      </c>
    </row>
    <row r="170" spans="1:12" s="17" customFormat="1" ht="19.5" customHeight="1" x14ac:dyDescent="0.2">
      <c r="A170" s="59" t="s">
        <v>4</v>
      </c>
      <c r="B170" s="60"/>
      <c r="C170" s="60"/>
      <c r="D170" s="60"/>
      <c r="E170" s="60"/>
      <c r="F170" s="60"/>
      <c r="G170" s="61"/>
      <c r="H170" s="27">
        <f>SUM(H11:H169)</f>
        <v>60466524.431457147</v>
      </c>
      <c r="I170" s="27">
        <f>SUM(I11:I169)</f>
        <v>60466524.431457147</v>
      </c>
      <c r="J170" s="41"/>
      <c r="L170" s="18">
        <f t="shared" si="10"/>
        <v>0</v>
      </c>
    </row>
    <row r="171" spans="1:12" s="17" customFormat="1" ht="22.5" customHeight="1" x14ac:dyDescent="0.2">
      <c r="A171" s="59" t="s">
        <v>19</v>
      </c>
      <c r="B171" s="62"/>
      <c r="C171" s="62"/>
      <c r="D171" s="62"/>
      <c r="E171" s="62"/>
      <c r="F171" s="62"/>
      <c r="G171" s="62"/>
      <c r="H171" s="62"/>
      <c r="I171" s="62"/>
      <c r="J171" s="63"/>
      <c r="L171" s="18">
        <f t="shared" si="10"/>
        <v>0</v>
      </c>
    </row>
    <row r="172" spans="1:12" s="17" customFormat="1" ht="64.5" customHeight="1" x14ac:dyDescent="0.2">
      <c r="A172" s="39">
        <v>1</v>
      </c>
      <c r="B172" s="26" t="s">
        <v>432</v>
      </c>
      <c r="C172" s="14" t="s">
        <v>2</v>
      </c>
      <c r="D172" s="26" t="s">
        <v>433</v>
      </c>
      <c r="E172" s="28" t="s">
        <v>8</v>
      </c>
      <c r="F172" s="35">
        <v>1</v>
      </c>
      <c r="G172" s="38">
        <f>ROUND((9*60*1600+9*5*5210+9*1*12580+9*3*31207),0)</f>
        <v>2054259</v>
      </c>
      <c r="H172" s="15">
        <f>G172*F172</f>
        <v>2054259</v>
      </c>
      <c r="I172" s="15">
        <f>H172</f>
        <v>2054259</v>
      </c>
      <c r="J172" s="37" t="s">
        <v>151</v>
      </c>
      <c r="L172" s="18">
        <f t="shared" si="10"/>
        <v>0</v>
      </c>
    </row>
    <row r="173" spans="1:12" s="17" customFormat="1" ht="69.75" customHeight="1" x14ac:dyDescent="0.2">
      <c r="A173" s="39">
        <v>2</v>
      </c>
      <c r="B173" s="26" t="s">
        <v>120</v>
      </c>
      <c r="C173" s="14" t="s">
        <v>2</v>
      </c>
      <c r="D173" s="26" t="s">
        <v>122</v>
      </c>
      <c r="E173" s="28" t="s">
        <v>8</v>
      </c>
      <c r="F173" s="35">
        <v>1</v>
      </c>
      <c r="G173" s="38">
        <f>(930803)*1.07/12*9</f>
        <v>746969.40750000009</v>
      </c>
      <c r="H173" s="15">
        <f t="shared" ref="H173" si="12">G173*F173</f>
        <v>746969.40750000009</v>
      </c>
      <c r="I173" s="15">
        <f t="shared" ref="I173:I214" si="13">H173</f>
        <v>746969.40750000009</v>
      </c>
      <c r="J173" s="37" t="s">
        <v>151</v>
      </c>
      <c r="L173" s="18">
        <f t="shared" si="10"/>
        <v>0</v>
      </c>
    </row>
    <row r="174" spans="1:12" s="17" customFormat="1" ht="61.5" customHeight="1" x14ac:dyDescent="0.2">
      <c r="A174" s="39">
        <v>3</v>
      </c>
      <c r="B174" s="26" t="s">
        <v>413</v>
      </c>
      <c r="C174" s="14" t="s">
        <v>2</v>
      </c>
      <c r="D174" s="26" t="s">
        <v>414</v>
      </c>
      <c r="E174" s="28" t="s">
        <v>8</v>
      </c>
      <c r="F174" s="35">
        <f>365-90</f>
        <v>275</v>
      </c>
      <c r="G174" s="38">
        <f>90*1.07</f>
        <v>96.300000000000011</v>
      </c>
      <c r="H174" s="15">
        <f>G174*F174</f>
        <v>26482.500000000004</v>
      </c>
      <c r="I174" s="15">
        <f t="shared" si="13"/>
        <v>26482.500000000004</v>
      </c>
      <c r="J174" s="37" t="s">
        <v>151</v>
      </c>
      <c r="L174" s="18">
        <f t="shared" si="10"/>
        <v>0</v>
      </c>
    </row>
    <row r="175" spans="1:12" s="17" customFormat="1" ht="50.25" customHeight="1" x14ac:dyDescent="0.2">
      <c r="A175" s="39">
        <v>4</v>
      </c>
      <c r="B175" s="26" t="s">
        <v>121</v>
      </c>
      <c r="C175" s="14" t="s">
        <v>2</v>
      </c>
      <c r="D175" s="26" t="s">
        <v>123</v>
      </c>
      <c r="E175" s="28" t="s">
        <v>8</v>
      </c>
      <c r="F175" s="35">
        <v>1</v>
      </c>
      <c r="G175" s="38">
        <v>293608</v>
      </c>
      <c r="H175" s="15">
        <f t="shared" ref="H175" si="14">G175*F175</f>
        <v>293608</v>
      </c>
      <c r="I175" s="15">
        <f t="shared" si="13"/>
        <v>293608</v>
      </c>
      <c r="J175" s="37" t="s">
        <v>151</v>
      </c>
      <c r="L175" s="18">
        <f t="shared" si="10"/>
        <v>0</v>
      </c>
    </row>
    <row r="176" spans="1:12" s="17" customFormat="1" ht="50.25" customHeight="1" x14ac:dyDescent="0.2">
      <c r="A176" s="39">
        <v>5</v>
      </c>
      <c r="B176" s="26" t="s">
        <v>430</v>
      </c>
      <c r="C176" s="14" t="s">
        <v>2</v>
      </c>
      <c r="D176" s="26" t="s">
        <v>431</v>
      </c>
      <c r="E176" s="28" t="s">
        <v>8</v>
      </c>
      <c r="F176" s="35">
        <v>2</v>
      </c>
      <c r="G176" s="38">
        <f>ROUND(4000*1.07,0)</f>
        <v>4280</v>
      </c>
      <c r="H176" s="15">
        <f t="shared" ref="H176:H177" si="15">G176*F176</f>
        <v>8560</v>
      </c>
      <c r="I176" s="15">
        <f t="shared" si="13"/>
        <v>8560</v>
      </c>
      <c r="J176" s="37" t="s">
        <v>151</v>
      </c>
      <c r="L176" s="18">
        <f t="shared" si="10"/>
        <v>0</v>
      </c>
    </row>
    <row r="177" spans="1:12" s="17" customFormat="1" ht="50.25" customHeight="1" x14ac:dyDescent="0.2">
      <c r="A177" s="39">
        <v>6</v>
      </c>
      <c r="B177" s="26" t="s">
        <v>251</v>
      </c>
      <c r="C177" s="14" t="s">
        <v>2</v>
      </c>
      <c r="D177" s="26" t="s">
        <v>278</v>
      </c>
      <c r="E177" s="28" t="s">
        <v>8</v>
      </c>
      <c r="F177" s="35">
        <v>2</v>
      </c>
      <c r="G177" s="38">
        <f>7000*1.07</f>
        <v>7490</v>
      </c>
      <c r="H177" s="15">
        <f t="shared" si="15"/>
        <v>14980</v>
      </c>
      <c r="I177" s="15">
        <f t="shared" si="13"/>
        <v>14980</v>
      </c>
      <c r="J177" s="37" t="s">
        <v>151</v>
      </c>
      <c r="L177" s="18">
        <f t="shared" si="10"/>
        <v>0</v>
      </c>
    </row>
    <row r="178" spans="1:12" s="17" customFormat="1" ht="81.75" customHeight="1" x14ac:dyDescent="0.2">
      <c r="A178" s="39">
        <v>7</v>
      </c>
      <c r="B178" s="26" t="s">
        <v>415</v>
      </c>
      <c r="C178" s="14" t="s">
        <v>2</v>
      </c>
      <c r="D178" s="26" t="s">
        <v>416</v>
      </c>
      <c r="E178" s="28" t="s">
        <v>8</v>
      </c>
      <c r="F178" s="35">
        <v>1</v>
      </c>
      <c r="G178" s="38">
        <f>1119200/2*1.07/12*9+383150*1.07+38245*1.07+93060*1.07+13000*1.07</f>
        <v>1013455.8500000001</v>
      </c>
      <c r="H178" s="15">
        <f t="shared" ref="H178" si="16">G178*F178</f>
        <v>1013455.8500000001</v>
      </c>
      <c r="I178" s="15">
        <f t="shared" si="13"/>
        <v>1013455.8500000001</v>
      </c>
      <c r="J178" s="37" t="s">
        <v>151</v>
      </c>
      <c r="L178" s="18">
        <f t="shared" si="10"/>
        <v>0</v>
      </c>
    </row>
    <row r="179" spans="1:12" s="17" customFormat="1" ht="50.25" customHeight="1" x14ac:dyDescent="0.2">
      <c r="A179" s="39">
        <v>8</v>
      </c>
      <c r="B179" s="26" t="s">
        <v>124</v>
      </c>
      <c r="C179" s="14" t="s">
        <v>2</v>
      </c>
      <c r="D179" s="26" t="s">
        <v>126</v>
      </c>
      <c r="E179" s="28" t="s">
        <v>8</v>
      </c>
      <c r="F179" s="35">
        <v>1</v>
      </c>
      <c r="G179" s="38">
        <f>59600*1.07</f>
        <v>63772.000000000007</v>
      </c>
      <c r="H179" s="15">
        <f t="shared" ref="H179:H180" si="17">G179*F179</f>
        <v>63772.000000000007</v>
      </c>
      <c r="I179" s="15">
        <f t="shared" si="13"/>
        <v>63772.000000000007</v>
      </c>
      <c r="J179" s="37" t="s">
        <v>151</v>
      </c>
      <c r="L179" s="18">
        <f t="shared" si="10"/>
        <v>0</v>
      </c>
    </row>
    <row r="180" spans="1:12" s="17" customFormat="1" ht="50.25" customHeight="1" x14ac:dyDescent="0.2">
      <c r="A180" s="39">
        <v>9</v>
      </c>
      <c r="B180" s="26" t="s">
        <v>125</v>
      </c>
      <c r="C180" s="14" t="s">
        <v>2</v>
      </c>
      <c r="D180" s="26" t="s">
        <v>127</v>
      </c>
      <c r="E180" s="28" t="s">
        <v>8</v>
      </c>
      <c r="F180" s="35">
        <v>1</v>
      </c>
      <c r="G180" s="38">
        <f>200000*1.07*1.12</f>
        <v>239680.00000000003</v>
      </c>
      <c r="H180" s="15">
        <f t="shared" si="17"/>
        <v>239680.00000000003</v>
      </c>
      <c r="I180" s="15">
        <f t="shared" si="13"/>
        <v>239680.00000000003</v>
      </c>
      <c r="J180" s="37" t="s">
        <v>151</v>
      </c>
      <c r="L180" s="18">
        <f t="shared" si="10"/>
        <v>0</v>
      </c>
    </row>
    <row r="181" spans="1:12" s="17" customFormat="1" ht="50.25" customHeight="1" x14ac:dyDescent="0.2">
      <c r="A181" s="39">
        <v>10</v>
      </c>
      <c r="B181" s="26" t="s">
        <v>252</v>
      </c>
      <c r="C181" s="14" t="s">
        <v>2</v>
      </c>
      <c r="D181" s="26" t="s">
        <v>279</v>
      </c>
      <c r="E181" s="28" t="s">
        <v>8</v>
      </c>
      <c r="F181" s="35">
        <v>2400</v>
      </c>
      <c r="G181" s="38">
        <v>1900</v>
      </c>
      <c r="H181" s="15">
        <f>G181*F181</f>
        <v>4560000</v>
      </c>
      <c r="I181" s="15">
        <f t="shared" si="13"/>
        <v>4560000</v>
      </c>
      <c r="J181" s="37" t="s">
        <v>151</v>
      </c>
      <c r="L181" s="18">
        <f t="shared" si="10"/>
        <v>0</v>
      </c>
    </row>
    <row r="182" spans="1:12" s="17" customFormat="1" ht="50.25" customHeight="1" x14ac:dyDescent="0.2">
      <c r="A182" s="39">
        <v>11</v>
      </c>
      <c r="B182" s="26" t="s">
        <v>253</v>
      </c>
      <c r="C182" s="14" t="s">
        <v>2</v>
      </c>
      <c r="D182" s="26" t="s">
        <v>280</v>
      </c>
      <c r="E182" s="28" t="s">
        <v>8</v>
      </c>
      <c r="F182" s="35">
        <v>540</v>
      </c>
      <c r="G182" s="38">
        <v>1500</v>
      </c>
      <c r="H182" s="15">
        <f t="shared" ref="H182" si="18">G182*F182</f>
        <v>810000</v>
      </c>
      <c r="I182" s="15">
        <f t="shared" si="13"/>
        <v>810000</v>
      </c>
      <c r="J182" s="37" t="s">
        <v>151</v>
      </c>
      <c r="L182" s="18">
        <f t="shared" si="10"/>
        <v>0</v>
      </c>
    </row>
    <row r="183" spans="1:12" s="17" customFormat="1" ht="66" customHeight="1" x14ac:dyDescent="0.2">
      <c r="A183" s="39">
        <v>12</v>
      </c>
      <c r="B183" s="26" t="s">
        <v>417</v>
      </c>
      <c r="C183" s="14" t="s">
        <v>2</v>
      </c>
      <c r="D183" s="26" t="s">
        <v>418</v>
      </c>
      <c r="E183" s="28" t="s">
        <v>8</v>
      </c>
      <c r="F183" s="35">
        <v>1</v>
      </c>
      <c r="G183" s="38">
        <v>453085</v>
      </c>
      <c r="H183" s="15">
        <f>G183*F183</f>
        <v>453085</v>
      </c>
      <c r="I183" s="15">
        <f t="shared" si="13"/>
        <v>453085</v>
      </c>
      <c r="J183" s="37" t="s">
        <v>151</v>
      </c>
      <c r="L183" s="18">
        <f t="shared" si="10"/>
        <v>0</v>
      </c>
    </row>
    <row r="184" spans="1:12" s="17" customFormat="1" ht="69.75" customHeight="1" x14ac:dyDescent="0.2">
      <c r="A184" s="39">
        <v>13</v>
      </c>
      <c r="B184" s="26" t="s">
        <v>20</v>
      </c>
      <c r="C184" s="14" t="s">
        <v>2</v>
      </c>
      <c r="D184" s="26" t="s">
        <v>134</v>
      </c>
      <c r="E184" s="28" t="s">
        <v>8</v>
      </c>
      <c r="F184" s="35">
        <v>1</v>
      </c>
      <c r="G184" s="38">
        <f>31500*4*1.07</f>
        <v>134820</v>
      </c>
      <c r="H184" s="15">
        <f t="shared" ref="H184:H190" si="19">G184*F184</f>
        <v>134820</v>
      </c>
      <c r="I184" s="15">
        <f t="shared" si="13"/>
        <v>134820</v>
      </c>
      <c r="J184" s="37" t="s">
        <v>151</v>
      </c>
      <c r="L184" s="18">
        <f t="shared" si="10"/>
        <v>0</v>
      </c>
    </row>
    <row r="185" spans="1:12" s="17" customFormat="1" ht="68.25" customHeight="1" x14ac:dyDescent="0.2">
      <c r="A185" s="39">
        <v>14</v>
      </c>
      <c r="B185" s="26" t="s">
        <v>128</v>
      </c>
      <c r="C185" s="14" t="s">
        <v>2</v>
      </c>
      <c r="D185" s="26" t="s">
        <v>130</v>
      </c>
      <c r="E185" s="28" t="s">
        <v>8</v>
      </c>
      <c r="F185" s="35">
        <v>1</v>
      </c>
      <c r="G185" s="38">
        <f>(123100+30*6750)+200000</f>
        <v>525600</v>
      </c>
      <c r="H185" s="15">
        <f t="shared" si="19"/>
        <v>525600</v>
      </c>
      <c r="I185" s="15">
        <f t="shared" si="13"/>
        <v>525600</v>
      </c>
      <c r="J185" s="37" t="s">
        <v>151</v>
      </c>
      <c r="L185" s="18">
        <f t="shared" si="10"/>
        <v>0</v>
      </c>
    </row>
    <row r="186" spans="1:12" s="17" customFormat="1" ht="62.25" customHeight="1" x14ac:dyDescent="0.2">
      <c r="A186" s="39">
        <v>15</v>
      </c>
      <c r="B186" s="26" t="s">
        <v>129</v>
      </c>
      <c r="C186" s="14" t="s">
        <v>2</v>
      </c>
      <c r="D186" s="26" t="s">
        <v>131</v>
      </c>
      <c r="E186" s="28" t="s">
        <v>8</v>
      </c>
      <c r="F186" s="35">
        <v>1</v>
      </c>
      <c r="G186" s="38">
        <f>(123100+20*6750)</f>
        <v>258100</v>
      </c>
      <c r="H186" s="15">
        <f t="shared" si="19"/>
        <v>258100</v>
      </c>
      <c r="I186" s="15">
        <f t="shared" si="13"/>
        <v>258100</v>
      </c>
      <c r="J186" s="37" t="s">
        <v>151</v>
      </c>
      <c r="L186" s="18">
        <f t="shared" si="10"/>
        <v>0</v>
      </c>
    </row>
    <row r="187" spans="1:12" s="17" customFormat="1" ht="50.25" customHeight="1" x14ac:dyDescent="0.2">
      <c r="A187" s="39">
        <v>16</v>
      </c>
      <c r="B187" s="26" t="s">
        <v>135</v>
      </c>
      <c r="C187" s="14" t="s">
        <v>2</v>
      </c>
      <c r="D187" s="26" t="s">
        <v>136</v>
      </c>
      <c r="E187" s="28" t="s">
        <v>8</v>
      </c>
      <c r="F187" s="35">
        <f>500</f>
        <v>500</v>
      </c>
      <c r="G187" s="38">
        <f>1000*1.07</f>
        <v>1070</v>
      </c>
      <c r="H187" s="15">
        <f>G187*F187</f>
        <v>535000</v>
      </c>
      <c r="I187" s="15">
        <f t="shared" si="13"/>
        <v>535000</v>
      </c>
      <c r="J187" s="37" t="s">
        <v>151</v>
      </c>
      <c r="L187" s="18">
        <f t="shared" si="10"/>
        <v>0</v>
      </c>
    </row>
    <row r="188" spans="1:12" s="17" customFormat="1" ht="68.25" customHeight="1" x14ac:dyDescent="0.2">
      <c r="A188" s="39">
        <v>17</v>
      </c>
      <c r="B188" s="26" t="s">
        <v>150</v>
      </c>
      <c r="C188" s="14" t="s">
        <v>2</v>
      </c>
      <c r="D188" s="26" t="s">
        <v>281</v>
      </c>
      <c r="E188" s="28" t="s">
        <v>8</v>
      </c>
      <c r="F188" s="35">
        <v>4</v>
      </c>
      <c r="G188" s="38">
        <f>15600*1.07</f>
        <v>16692</v>
      </c>
      <c r="H188" s="15">
        <f t="shared" si="19"/>
        <v>66768</v>
      </c>
      <c r="I188" s="15">
        <f t="shared" si="13"/>
        <v>66768</v>
      </c>
      <c r="J188" s="37" t="s">
        <v>151</v>
      </c>
      <c r="L188" s="18">
        <f t="shared" si="10"/>
        <v>0</v>
      </c>
    </row>
    <row r="189" spans="1:12" s="17" customFormat="1" ht="50.25" customHeight="1" x14ac:dyDescent="0.2">
      <c r="A189" s="39">
        <v>18</v>
      </c>
      <c r="B189" s="26" t="s">
        <v>137</v>
      </c>
      <c r="C189" s="14" t="s">
        <v>2</v>
      </c>
      <c r="D189" s="26" t="s">
        <v>139</v>
      </c>
      <c r="E189" s="28" t="s">
        <v>8</v>
      </c>
      <c r="F189" s="35">
        <f>(10+30)</f>
        <v>40</v>
      </c>
      <c r="G189" s="38">
        <v>5000</v>
      </c>
      <c r="H189" s="15">
        <f t="shared" si="19"/>
        <v>200000</v>
      </c>
      <c r="I189" s="15">
        <f t="shared" si="13"/>
        <v>200000</v>
      </c>
      <c r="J189" s="37" t="s">
        <v>151</v>
      </c>
      <c r="L189" s="18">
        <f t="shared" si="10"/>
        <v>0</v>
      </c>
    </row>
    <row r="190" spans="1:12" s="17" customFormat="1" ht="50.25" customHeight="1" x14ac:dyDescent="0.2">
      <c r="A190" s="39">
        <v>19</v>
      </c>
      <c r="B190" s="26" t="s">
        <v>138</v>
      </c>
      <c r="C190" s="14" t="s">
        <v>2</v>
      </c>
      <c r="D190" s="26" t="s">
        <v>140</v>
      </c>
      <c r="E190" s="28" t="s">
        <v>8</v>
      </c>
      <c r="F190" s="35">
        <v>8</v>
      </c>
      <c r="G190" s="38">
        <f>490000</f>
        <v>490000</v>
      </c>
      <c r="H190" s="15">
        <f t="shared" si="19"/>
        <v>3920000</v>
      </c>
      <c r="I190" s="15">
        <f t="shared" si="13"/>
        <v>3920000</v>
      </c>
      <c r="J190" s="37" t="s">
        <v>151</v>
      </c>
      <c r="L190" s="18">
        <f t="shared" si="10"/>
        <v>0</v>
      </c>
    </row>
    <row r="191" spans="1:12" s="17" customFormat="1" ht="50.25" customHeight="1" x14ac:dyDescent="0.2">
      <c r="A191" s="39">
        <v>20</v>
      </c>
      <c r="B191" s="26" t="s">
        <v>132</v>
      </c>
      <c r="C191" s="14" t="s">
        <v>2</v>
      </c>
      <c r="D191" s="26" t="s">
        <v>133</v>
      </c>
      <c r="E191" s="28" t="s">
        <v>8</v>
      </c>
      <c r="F191" s="35">
        <v>1</v>
      </c>
      <c r="G191" s="38">
        <f>330000*1.07</f>
        <v>353100</v>
      </c>
      <c r="H191" s="15">
        <f>G191*F191</f>
        <v>353100</v>
      </c>
      <c r="I191" s="15">
        <f t="shared" si="13"/>
        <v>353100</v>
      </c>
      <c r="J191" s="37" t="s">
        <v>151</v>
      </c>
      <c r="L191" s="18">
        <f t="shared" si="10"/>
        <v>0</v>
      </c>
    </row>
    <row r="192" spans="1:12" s="17" customFormat="1" ht="66.75" customHeight="1" x14ac:dyDescent="0.2">
      <c r="A192" s="39">
        <v>21</v>
      </c>
      <c r="B192" s="26" t="s">
        <v>419</v>
      </c>
      <c r="C192" s="14" t="s">
        <v>2</v>
      </c>
      <c r="D192" s="26" t="s">
        <v>282</v>
      </c>
      <c r="E192" s="28" t="s">
        <v>254</v>
      </c>
      <c r="F192" s="35">
        <v>1</v>
      </c>
      <c r="G192" s="38">
        <f>419440</f>
        <v>419440</v>
      </c>
      <c r="H192" s="15">
        <f t="shared" ref="H192:H195" si="20">G192*F192</f>
        <v>419440</v>
      </c>
      <c r="I192" s="15">
        <f t="shared" si="13"/>
        <v>419440</v>
      </c>
      <c r="J192" s="37" t="s">
        <v>151</v>
      </c>
      <c r="L192" s="18">
        <f t="shared" si="10"/>
        <v>0</v>
      </c>
    </row>
    <row r="193" spans="1:12" s="17" customFormat="1" ht="69" customHeight="1" x14ac:dyDescent="0.2">
      <c r="A193" s="39">
        <v>22</v>
      </c>
      <c r="B193" s="26" t="s">
        <v>255</v>
      </c>
      <c r="C193" s="14" t="s">
        <v>2</v>
      </c>
      <c r="D193" s="26" t="s">
        <v>283</v>
      </c>
      <c r="E193" s="28" t="s">
        <v>258</v>
      </c>
      <c r="F193" s="35">
        <v>12</v>
      </c>
      <c r="G193" s="38">
        <f>(15000*1.07)</f>
        <v>16050.000000000002</v>
      </c>
      <c r="H193" s="15">
        <f t="shared" si="20"/>
        <v>192600.00000000003</v>
      </c>
      <c r="I193" s="15">
        <f t="shared" si="13"/>
        <v>192600.00000000003</v>
      </c>
      <c r="J193" s="37" t="s">
        <v>151</v>
      </c>
      <c r="L193" s="18">
        <f t="shared" si="10"/>
        <v>0</v>
      </c>
    </row>
    <row r="194" spans="1:12" s="17" customFormat="1" ht="60" customHeight="1" x14ac:dyDescent="0.2">
      <c r="A194" s="39">
        <v>23</v>
      </c>
      <c r="B194" s="26" t="s">
        <v>256</v>
      </c>
      <c r="C194" s="14" t="s">
        <v>2</v>
      </c>
      <c r="D194" s="26" t="s">
        <v>284</v>
      </c>
      <c r="E194" s="28" t="s">
        <v>254</v>
      </c>
      <c r="F194" s="35">
        <v>1</v>
      </c>
      <c r="G194" s="38">
        <f>1600000*1.07</f>
        <v>1712000</v>
      </c>
      <c r="H194" s="15">
        <f t="shared" si="20"/>
        <v>1712000</v>
      </c>
      <c r="I194" s="15">
        <f t="shared" si="13"/>
        <v>1712000</v>
      </c>
      <c r="J194" s="37" t="s">
        <v>151</v>
      </c>
      <c r="L194" s="18">
        <f t="shared" si="10"/>
        <v>0</v>
      </c>
    </row>
    <row r="195" spans="1:12" s="17" customFormat="1" ht="58.5" customHeight="1" x14ac:dyDescent="0.2">
      <c r="A195" s="39">
        <v>24</v>
      </c>
      <c r="B195" s="26" t="s">
        <v>257</v>
      </c>
      <c r="C195" s="14" t="s">
        <v>2</v>
      </c>
      <c r="D195" s="26" t="s">
        <v>285</v>
      </c>
      <c r="E195" s="28" t="s">
        <v>254</v>
      </c>
      <c r="F195" s="35">
        <v>1</v>
      </c>
      <c r="G195" s="38">
        <f>20*30000*1.07</f>
        <v>642000</v>
      </c>
      <c r="H195" s="15">
        <f t="shared" si="20"/>
        <v>642000</v>
      </c>
      <c r="I195" s="15">
        <f t="shared" si="13"/>
        <v>642000</v>
      </c>
      <c r="J195" s="37" t="s">
        <v>151</v>
      </c>
      <c r="L195" s="18">
        <f t="shared" si="10"/>
        <v>0</v>
      </c>
    </row>
    <row r="196" spans="1:12" s="17" customFormat="1" ht="69" customHeight="1" x14ac:dyDescent="0.2">
      <c r="A196" s="39">
        <v>25</v>
      </c>
      <c r="B196" s="26" t="s">
        <v>435</v>
      </c>
      <c r="C196" s="14" t="s">
        <v>2</v>
      </c>
      <c r="D196" s="26" t="s">
        <v>436</v>
      </c>
      <c r="E196" s="28" t="s">
        <v>254</v>
      </c>
      <c r="F196" s="35">
        <v>1</v>
      </c>
      <c r="G196" s="38">
        <f>3729600</f>
        <v>3729600</v>
      </c>
      <c r="H196" s="15">
        <f t="shared" ref="H196:H197" si="21">G196*F196</f>
        <v>3729600</v>
      </c>
      <c r="I196" s="15">
        <f t="shared" si="13"/>
        <v>3729600</v>
      </c>
      <c r="J196" s="37" t="s">
        <v>151</v>
      </c>
      <c r="L196" s="18">
        <f t="shared" si="10"/>
        <v>0</v>
      </c>
    </row>
    <row r="197" spans="1:12" s="17" customFormat="1" ht="63.75" customHeight="1" x14ac:dyDescent="0.2">
      <c r="A197" s="39">
        <v>26</v>
      </c>
      <c r="B197" s="26" t="s">
        <v>141</v>
      </c>
      <c r="C197" s="14" t="s">
        <v>2</v>
      </c>
      <c r="D197" s="26" t="s">
        <v>142</v>
      </c>
      <c r="E197" s="28" t="s">
        <v>254</v>
      </c>
      <c r="F197" s="35">
        <v>1</v>
      </c>
      <c r="G197" s="38">
        <f>550000*1.07</f>
        <v>588500</v>
      </c>
      <c r="H197" s="15">
        <f t="shared" si="21"/>
        <v>588500</v>
      </c>
      <c r="I197" s="15">
        <f t="shared" si="13"/>
        <v>588500</v>
      </c>
      <c r="J197" s="37" t="s">
        <v>151</v>
      </c>
      <c r="L197" s="18">
        <f t="shared" si="10"/>
        <v>0</v>
      </c>
    </row>
    <row r="198" spans="1:12" s="17" customFormat="1" ht="63.75" customHeight="1" x14ac:dyDescent="0.2">
      <c r="A198" s="39">
        <v>27</v>
      </c>
      <c r="B198" s="26" t="s">
        <v>293</v>
      </c>
      <c r="C198" s="14" t="s">
        <v>2</v>
      </c>
      <c r="D198" s="26" t="s">
        <v>295</v>
      </c>
      <c r="E198" s="28" t="s">
        <v>254</v>
      </c>
      <c r="F198" s="35">
        <v>1</v>
      </c>
      <c r="G198" s="38">
        <v>1255624</v>
      </c>
      <c r="H198" s="15">
        <f t="shared" ref="H198:H199" si="22">G198*F198</f>
        <v>1255624</v>
      </c>
      <c r="I198" s="15">
        <f t="shared" ref="I198:I199" si="23">H198</f>
        <v>1255624</v>
      </c>
      <c r="J198" s="37" t="s">
        <v>151</v>
      </c>
      <c r="L198" s="18"/>
    </row>
    <row r="199" spans="1:12" s="17" customFormat="1" ht="63.75" customHeight="1" x14ac:dyDescent="0.2">
      <c r="A199" s="39">
        <v>28</v>
      </c>
      <c r="B199" s="26" t="s">
        <v>294</v>
      </c>
      <c r="C199" s="14" t="s">
        <v>2</v>
      </c>
      <c r="D199" s="26" t="s">
        <v>296</v>
      </c>
      <c r="E199" s="28" t="s">
        <v>254</v>
      </c>
      <c r="F199" s="35">
        <v>1</v>
      </c>
      <c r="G199" s="38">
        <v>1385147</v>
      </c>
      <c r="H199" s="15">
        <f t="shared" si="22"/>
        <v>1385147</v>
      </c>
      <c r="I199" s="15">
        <f t="shared" si="23"/>
        <v>1385147</v>
      </c>
      <c r="J199" s="37" t="s">
        <v>151</v>
      </c>
      <c r="L199" s="18"/>
    </row>
    <row r="200" spans="1:12" s="17" customFormat="1" ht="63" customHeight="1" x14ac:dyDescent="0.2">
      <c r="A200" s="39">
        <v>29</v>
      </c>
      <c r="B200" s="26" t="s">
        <v>275</v>
      </c>
      <c r="C200" s="14" t="s">
        <v>276</v>
      </c>
      <c r="D200" s="26" t="s">
        <v>286</v>
      </c>
      <c r="E200" s="28" t="s">
        <v>254</v>
      </c>
      <c r="F200" s="35">
        <v>1</v>
      </c>
      <c r="G200" s="38">
        <v>89700000</v>
      </c>
      <c r="H200" s="15">
        <f>G200</f>
        <v>89700000</v>
      </c>
      <c r="I200" s="15">
        <f t="shared" si="13"/>
        <v>89700000</v>
      </c>
      <c r="J200" s="37" t="s">
        <v>151</v>
      </c>
      <c r="L200" s="18">
        <f t="shared" si="10"/>
        <v>0</v>
      </c>
    </row>
    <row r="201" spans="1:12" s="17" customFormat="1" ht="38.25" customHeight="1" x14ac:dyDescent="0.2">
      <c r="A201" s="39">
        <v>30</v>
      </c>
      <c r="B201" s="26" t="s">
        <v>118</v>
      </c>
      <c r="C201" s="14" t="s">
        <v>289</v>
      </c>
      <c r="D201" s="26" t="s">
        <v>118</v>
      </c>
      <c r="E201" s="28" t="s">
        <v>254</v>
      </c>
      <c r="F201" s="35">
        <v>1</v>
      </c>
      <c r="G201" s="38">
        <v>1446480</v>
      </c>
      <c r="H201" s="15">
        <f>G201*F201</f>
        <v>1446480</v>
      </c>
      <c r="I201" s="15">
        <f t="shared" si="13"/>
        <v>1446480</v>
      </c>
      <c r="J201" s="37" t="s">
        <v>151</v>
      </c>
      <c r="L201" s="18">
        <f t="shared" si="10"/>
        <v>0</v>
      </c>
    </row>
    <row r="202" spans="1:12" s="17" customFormat="1" ht="39" customHeight="1" x14ac:dyDescent="0.2">
      <c r="A202" s="39">
        <v>31</v>
      </c>
      <c r="B202" s="26" t="s">
        <v>119</v>
      </c>
      <c r="C202" s="14" t="s">
        <v>289</v>
      </c>
      <c r="D202" s="26" t="s">
        <v>119</v>
      </c>
      <c r="E202" s="28" t="s">
        <v>254</v>
      </c>
      <c r="F202" s="35">
        <v>1</v>
      </c>
      <c r="G202" s="38">
        <v>61650</v>
      </c>
      <c r="H202" s="15">
        <f t="shared" ref="H202:H204" si="24">G202*F202</f>
        <v>61650</v>
      </c>
      <c r="I202" s="15">
        <f t="shared" si="13"/>
        <v>61650</v>
      </c>
      <c r="J202" s="37" t="s">
        <v>151</v>
      </c>
      <c r="L202" s="18">
        <f t="shared" si="10"/>
        <v>0</v>
      </c>
    </row>
    <row r="203" spans="1:12" s="17" customFormat="1" ht="39.75" customHeight="1" x14ac:dyDescent="0.2">
      <c r="A203" s="39">
        <v>32</v>
      </c>
      <c r="B203" s="26" t="s">
        <v>259</v>
      </c>
      <c r="C203" s="14" t="s">
        <v>289</v>
      </c>
      <c r="D203" s="26" t="s">
        <v>259</v>
      </c>
      <c r="E203" s="28" t="s">
        <v>254</v>
      </c>
      <c r="F203" s="35">
        <v>1</v>
      </c>
      <c r="G203" s="38">
        <f>10000*1.12</f>
        <v>11200.000000000002</v>
      </c>
      <c r="H203" s="15">
        <f t="shared" si="24"/>
        <v>11200.000000000002</v>
      </c>
      <c r="I203" s="15">
        <f t="shared" si="13"/>
        <v>11200.000000000002</v>
      </c>
      <c r="J203" s="37" t="s">
        <v>151</v>
      </c>
      <c r="L203" s="18">
        <f t="shared" si="10"/>
        <v>0</v>
      </c>
    </row>
    <row r="204" spans="1:12" s="17" customFormat="1" ht="40.5" customHeight="1" x14ac:dyDescent="0.2">
      <c r="A204" s="39">
        <v>33</v>
      </c>
      <c r="B204" s="26" t="s">
        <v>260</v>
      </c>
      <c r="C204" s="14" t="s">
        <v>289</v>
      </c>
      <c r="D204" s="26" t="s">
        <v>260</v>
      </c>
      <c r="E204" s="28" t="s">
        <v>254</v>
      </c>
      <c r="F204" s="35">
        <f>5*9</f>
        <v>45</v>
      </c>
      <c r="G204" s="38">
        <f>950*1.12</f>
        <v>1064</v>
      </c>
      <c r="H204" s="15">
        <f t="shared" si="24"/>
        <v>47880</v>
      </c>
      <c r="I204" s="15">
        <f t="shared" si="13"/>
        <v>47880</v>
      </c>
      <c r="J204" s="37" t="s">
        <v>151</v>
      </c>
      <c r="L204" s="18">
        <f t="shared" si="10"/>
        <v>0</v>
      </c>
    </row>
    <row r="205" spans="1:12" s="17" customFormat="1" ht="52.5" customHeight="1" x14ac:dyDescent="0.2">
      <c r="A205" s="39">
        <v>34</v>
      </c>
      <c r="B205" s="26" t="s">
        <v>263</v>
      </c>
      <c r="C205" s="14" t="s">
        <v>288</v>
      </c>
      <c r="D205" s="26" t="s">
        <v>263</v>
      </c>
      <c r="E205" s="28" t="s">
        <v>274</v>
      </c>
      <c r="F205" s="16">
        <v>1</v>
      </c>
      <c r="G205" s="15">
        <v>18190</v>
      </c>
      <c r="H205" s="15">
        <f t="shared" ref="H205:H214" si="25">G205*F205</f>
        <v>18190</v>
      </c>
      <c r="I205" s="15">
        <f t="shared" si="13"/>
        <v>18190</v>
      </c>
      <c r="J205" s="37" t="s">
        <v>151</v>
      </c>
      <c r="L205" s="18">
        <f t="shared" ref="L205:L238" si="26">I205-H205</f>
        <v>0</v>
      </c>
    </row>
    <row r="206" spans="1:12" s="17" customFormat="1" ht="55.5" customHeight="1" x14ac:dyDescent="0.2">
      <c r="A206" s="39">
        <v>35</v>
      </c>
      <c r="B206" s="26" t="s">
        <v>264</v>
      </c>
      <c r="C206" s="14" t="s">
        <v>288</v>
      </c>
      <c r="D206" s="26" t="s">
        <v>264</v>
      </c>
      <c r="E206" s="28" t="s">
        <v>274</v>
      </c>
      <c r="F206" s="16">
        <v>1</v>
      </c>
      <c r="G206" s="15">
        <v>18181</v>
      </c>
      <c r="H206" s="15">
        <f t="shared" si="25"/>
        <v>18181</v>
      </c>
      <c r="I206" s="15">
        <f t="shared" si="13"/>
        <v>18181</v>
      </c>
      <c r="J206" s="37" t="s">
        <v>151</v>
      </c>
      <c r="L206" s="18">
        <f t="shared" si="26"/>
        <v>0</v>
      </c>
    </row>
    <row r="207" spans="1:12" s="17" customFormat="1" ht="48.75" customHeight="1" x14ac:dyDescent="0.2">
      <c r="A207" s="39">
        <v>36</v>
      </c>
      <c r="B207" s="26" t="s">
        <v>265</v>
      </c>
      <c r="C207" s="14" t="s">
        <v>288</v>
      </c>
      <c r="D207" s="26" t="s">
        <v>265</v>
      </c>
      <c r="E207" s="28" t="s">
        <v>274</v>
      </c>
      <c r="F207" s="16">
        <v>1</v>
      </c>
      <c r="G207" s="15">
        <v>70124</v>
      </c>
      <c r="H207" s="15">
        <f t="shared" si="25"/>
        <v>70124</v>
      </c>
      <c r="I207" s="15">
        <f t="shared" si="13"/>
        <v>70124</v>
      </c>
      <c r="J207" s="37" t="s">
        <v>151</v>
      </c>
      <c r="L207" s="18">
        <f t="shared" si="26"/>
        <v>0</v>
      </c>
    </row>
    <row r="208" spans="1:12" s="17" customFormat="1" ht="42" customHeight="1" x14ac:dyDescent="0.2">
      <c r="A208" s="39">
        <v>37</v>
      </c>
      <c r="B208" s="26" t="s">
        <v>266</v>
      </c>
      <c r="C208" s="14" t="s">
        <v>288</v>
      </c>
      <c r="D208" s="26" t="s">
        <v>266</v>
      </c>
      <c r="E208" s="28" t="s">
        <v>273</v>
      </c>
      <c r="F208" s="16">
        <v>10</v>
      </c>
      <c r="G208" s="15">
        <v>30600</v>
      </c>
      <c r="H208" s="15">
        <f t="shared" si="25"/>
        <v>306000</v>
      </c>
      <c r="I208" s="15">
        <f t="shared" si="13"/>
        <v>306000</v>
      </c>
      <c r="J208" s="37" t="s">
        <v>151</v>
      </c>
      <c r="L208" s="18">
        <f t="shared" si="26"/>
        <v>0</v>
      </c>
    </row>
    <row r="209" spans="1:12" s="17" customFormat="1" ht="49.5" customHeight="1" x14ac:dyDescent="0.2">
      <c r="A209" s="39">
        <v>38</v>
      </c>
      <c r="B209" s="26" t="s">
        <v>143</v>
      </c>
      <c r="C209" s="14" t="s">
        <v>288</v>
      </c>
      <c r="D209" s="26" t="s">
        <v>143</v>
      </c>
      <c r="E209" s="28" t="s">
        <v>274</v>
      </c>
      <c r="F209" s="16">
        <v>1</v>
      </c>
      <c r="G209" s="15">
        <v>7141</v>
      </c>
      <c r="H209" s="15">
        <f>G209*F209</f>
        <v>7141</v>
      </c>
      <c r="I209" s="15">
        <f t="shared" si="13"/>
        <v>7141</v>
      </c>
      <c r="J209" s="37" t="s">
        <v>151</v>
      </c>
      <c r="L209" s="18">
        <f t="shared" si="26"/>
        <v>0</v>
      </c>
    </row>
    <row r="210" spans="1:12" s="17" customFormat="1" ht="48.75" hidden="1" customHeight="1" x14ac:dyDescent="0.2">
      <c r="A210" s="39">
        <v>39</v>
      </c>
      <c r="B210" s="26" t="s">
        <v>268</v>
      </c>
      <c r="C210" s="14" t="s">
        <v>288</v>
      </c>
      <c r="D210" s="26" t="s">
        <v>268</v>
      </c>
      <c r="E210" s="28" t="s">
        <v>274</v>
      </c>
      <c r="F210" s="16">
        <v>1</v>
      </c>
      <c r="G210" s="15"/>
      <c r="H210" s="15">
        <f t="shared" si="25"/>
        <v>0</v>
      </c>
      <c r="I210" s="15">
        <f t="shared" si="13"/>
        <v>0</v>
      </c>
      <c r="J210" s="37" t="s">
        <v>151</v>
      </c>
      <c r="L210" s="18">
        <f t="shared" si="26"/>
        <v>0</v>
      </c>
    </row>
    <row r="211" spans="1:12" s="17" customFormat="1" ht="50.25" customHeight="1" x14ac:dyDescent="0.2">
      <c r="A211" s="39">
        <v>40</v>
      </c>
      <c r="B211" s="26" t="s">
        <v>144</v>
      </c>
      <c r="C211" s="14" t="s">
        <v>288</v>
      </c>
      <c r="D211" s="26" t="s">
        <v>144</v>
      </c>
      <c r="E211" s="28" t="s">
        <v>274</v>
      </c>
      <c r="F211" s="16">
        <v>1</v>
      </c>
      <c r="G211" s="15">
        <v>255000</v>
      </c>
      <c r="H211" s="15">
        <f t="shared" si="25"/>
        <v>255000</v>
      </c>
      <c r="I211" s="15">
        <f>H211</f>
        <v>255000</v>
      </c>
      <c r="J211" s="37" t="s">
        <v>151</v>
      </c>
      <c r="L211" s="18">
        <f t="shared" si="26"/>
        <v>0</v>
      </c>
    </row>
    <row r="212" spans="1:12" s="17" customFormat="1" ht="54" customHeight="1" x14ac:dyDescent="0.2">
      <c r="A212" s="39">
        <v>41</v>
      </c>
      <c r="B212" s="26" t="s">
        <v>145</v>
      </c>
      <c r="C212" s="14" t="s">
        <v>288</v>
      </c>
      <c r="D212" s="26" t="s">
        <v>145</v>
      </c>
      <c r="E212" s="28" t="s">
        <v>274</v>
      </c>
      <c r="F212" s="16">
        <v>1</v>
      </c>
      <c r="G212" s="15">
        <v>28431</v>
      </c>
      <c r="H212" s="15">
        <f t="shared" si="25"/>
        <v>28431</v>
      </c>
      <c r="I212" s="15">
        <f t="shared" si="13"/>
        <v>28431</v>
      </c>
      <c r="J212" s="37" t="s">
        <v>151</v>
      </c>
      <c r="L212" s="18">
        <f t="shared" si="26"/>
        <v>0</v>
      </c>
    </row>
    <row r="213" spans="1:12" s="17" customFormat="1" ht="54.75" customHeight="1" x14ac:dyDescent="0.2">
      <c r="A213" s="39">
        <v>42</v>
      </c>
      <c r="B213" s="26" t="s">
        <v>146</v>
      </c>
      <c r="C213" s="14" t="s">
        <v>288</v>
      </c>
      <c r="D213" s="26" t="s">
        <v>146</v>
      </c>
      <c r="E213" s="28" t="s">
        <v>274</v>
      </c>
      <c r="F213" s="16">
        <v>1</v>
      </c>
      <c r="G213" s="15">
        <v>23560</v>
      </c>
      <c r="H213" s="15">
        <f>G213*F213</f>
        <v>23560</v>
      </c>
      <c r="I213" s="15">
        <f t="shared" si="13"/>
        <v>23560</v>
      </c>
      <c r="J213" s="37" t="s">
        <v>151</v>
      </c>
      <c r="L213" s="18">
        <f t="shared" si="26"/>
        <v>0</v>
      </c>
    </row>
    <row r="214" spans="1:12" s="17" customFormat="1" ht="54" customHeight="1" x14ac:dyDescent="0.2">
      <c r="A214" s="39">
        <v>43</v>
      </c>
      <c r="B214" s="26" t="s">
        <v>147</v>
      </c>
      <c r="C214" s="14" t="s">
        <v>288</v>
      </c>
      <c r="D214" s="26" t="s">
        <v>147</v>
      </c>
      <c r="E214" s="28" t="s">
        <v>274</v>
      </c>
      <c r="F214" s="16">
        <v>1</v>
      </c>
      <c r="G214" s="15">
        <v>8501</v>
      </c>
      <c r="H214" s="15">
        <f t="shared" si="25"/>
        <v>8501</v>
      </c>
      <c r="I214" s="15">
        <f t="shared" si="13"/>
        <v>8501</v>
      </c>
      <c r="J214" s="37" t="s">
        <v>151</v>
      </c>
      <c r="L214" s="18">
        <f t="shared" si="26"/>
        <v>0</v>
      </c>
    </row>
    <row r="215" spans="1:12" s="17" customFormat="1" ht="23.25" customHeight="1" x14ac:dyDescent="0.2">
      <c r="A215" s="59" t="s">
        <v>5</v>
      </c>
      <c r="B215" s="60"/>
      <c r="C215" s="61"/>
      <c r="D215" s="41"/>
      <c r="E215" s="41"/>
      <c r="F215" s="41"/>
      <c r="G215" s="41"/>
      <c r="H215" s="27">
        <f>SUM(H172:H214)</f>
        <v>118205488.75749999</v>
      </c>
      <c r="I215" s="27">
        <f>SUM(I172:I214)</f>
        <v>118205488.75749999</v>
      </c>
      <c r="J215" s="41"/>
      <c r="L215" s="18">
        <f t="shared" si="26"/>
        <v>0</v>
      </c>
    </row>
    <row r="216" spans="1:12" s="17" customFormat="1" ht="23.25" customHeight="1" x14ac:dyDescent="0.2">
      <c r="A216" s="59" t="s">
        <v>6</v>
      </c>
      <c r="B216" s="60"/>
      <c r="C216" s="61"/>
      <c r="D216" s="41"/>
      <c r="E216" s="41"/>
      <c r="F216" s="41"/>
      <c r="G216" s="41"/>
      <c r="H216" s="27">
        <f>H215+H170</f>
        <v>178672013.18895715</v>
      </c>
      <c r="I216" s="27">
        <f>I215+I170</f>
        <v>178672013.18895715</v>
      </c>
      <c r="J216" s="41"/>
      <c r="L216" s="18">
        <f t="shared" si="26"/>
        <v>0</v>
      </c>
    </row>
    <row r="217" spans="1:12" s="17" customFormat="1" ht="27" customHeight="1" x14ac:dyDescent="0.2">
      <c r="A217" s="59" t="s">
        <v>429</v>
      </c>
      <c r="B217" s="60"/>
      <c r="C217" s="60"/>
      <c r="D217" s="60"/>
      <c r="E217" s="60"/>
      <c r="F217" s="60"/>
      <c r="G217" s="60"/>
      <c r="H217" s="60"/>
      <c r="I217" s="60"/>
      <c r="J217" s="61"/>
      <c r="L217" s="18">
        <f t="shared" si="26"/>
        <v>0</v>
      </c>
    </row>
    <row r="218" spans="1:12" s="17" customFormat="1" ht="21.75" customHeight="1" x14ac:dyDescent="0.2">
      <c r="A218" s="59" t="s">
        <v>19</v>
      </c>
      <c r="B218" s="60"/>
      <c r="C218" s="60"/>
      <c r="D218" s="60"/>
      <c r="E218" s="60"/>
      <c r="F218" s="60"/>
      <c r="G218" s="60"/>
      <c r="H218" s="60"/>
      <c r="I218" s="60"/>
      <c r="J218" s="61"/>
      <c r="L218" s="18">
        <f t="shared" si="26"/>
        <v>0</v>
      </c>
    </row>
    <row r="219" spans="1:12" s="17" customFormat="1" ht="50.25" customHeight="1" x14ac:dyDescent="0.2">
      <c r="A219" s="39">
        <v>1</v>
      </c>
      <c r="B219" s="26" t="s">
        <v>420</v>
      </c>
      <c r="C219" s="14" t="s">
        <v>261</v>
      </c>
      <c r="D219" s="26" t="s">
        <v>420</v>
      </c>
      <c r="E219" s="28" t="s">
        <v>254</v>
      </c>
      <c r="F219" s="35">
        <v>1</v>
      </c>
      <c r="G219" s="38">
        <v>378000</v>
      </c>
      <c r="H219" s="15">
        <f t="shared" ref="H219" si="27">G219*F219</f>
        <v>378000</v>
      </c>
      <c r="I219" s="15">
        <f t="shared" ref="I219:I224" si="28">H219</f>
        <v>378000</v>
      </c>
      <c r="J219" s="37" t="s">
        <v>151</v>
      </c>
      <c r="L219" s="18">
        <f t="shared" si="26"/>
        <v>0</v>
      </c>
    </row>
    <row r="220" spans="1:12" s="17" customFormat="1" ht="50.25" customHeight="1" x14ac:dyDescent="0.2">
      <c r="A220" s="39">
        <v>2</v>
      </c>
      <c r="B220" s="26" t="s">
        <v>421</v>
      </c>
      <c r="C220" s="14" t="s">
        <v>261</v>
      </c>
      <c r="D220" s="26" t="s">
        <v>421</v>
      </c>
      <c r="E220" s="28" t="s">
        <v>254</v>
      </c>
      <c r="F220" s="35">
        <v>1</v>
      </c>
      <c r="G220" s="38">
        <v>354312</v>
      </c>
      <c r="H220" s="15">
        <f t="shared" ref="H220:H224" si="29">G220*F220</f>
        <v>354312</v>
      </c>
      <c r="I220" s="15">
        <f t="shared" si="28"/>
        <v>354312</v>
      </c>
      <c r="J220" s="37" t="s">
        <v>151</v>
      </c>
      <c r="L220" s="18">
        <f t="shared" si="26"/>
        <v>0</v>
      </c>
    </row>
    <row r="221" spans="1:12" s="17" customFormat="1" ht="50.25" customHeight="1" x14ac:dyDescent="0.2">
      <c r="A221" s="39">
        <v>3</v>
      </c>
      <c r="B221" s="26" t="s">
        <v>422</v>
      </c>
      <c r="C221" s="14" t="s">
        <v>261</v>
      </c>
      <c r="D221" s="26" t="s">
        <v>422</v>
      </c>
      <c r="E221" s="28" t="s">
        <v>262</v>
      </c>
      <c r="F221" s="35">
        <v>1</v>
      </c>
      <c r="G221" s="38">
        <v>2741</v>
      </c>
      <c r="H221" s="15">
        <f t="shared" si="29"/>
        <v>2741</v>
      </c>
      <c r="I221" s="15">
        <f t="shared" si="28"/>
        <v>2741</v>
      </c>
      <c r="J221" s="37" t="s">
        <v>151</v>
      </c>
      <c r="L221" s="18">
        <f t="shared" si="26"/>
        <v>0</v>
      </c>
    </row>
    <row r="222" spans="1:12" s="17" customFormat="1" ht="50.25" customHeight="1" x14ac:dyDescent="0.2">
      <c r="A222" s="39">
        <v>4</v>
      </c>
      <c r="B222" s="26" t="s">
        <v>423</v>
      </c>
      <c r="C222" s="14" t="s">
        <v>261</v>
      </c>
      <c r="D222" s="26" t="s">
        <v>423</v>
      </c>
      <c r="E222" s="28" t="s">
        <v>254</v>
      </c>
      <c r="F222" s="35">
        <v>1</v>
      </c>
      <c r="G222" s="38">
        <v>450000</v>
      </c>
      <c r="H222" s="15">
        <f t="shared" si="29"/>
        <v>450000</v>
      </c>
      <c r="I222" s="15">
        <f t="shared" si="28"/>
        <v>450000</v>
      </c>
      <c r="J222" s="37" t="s">
        <v>151</v>
      </c>
      <c r="L222" s="18">
        <f t="shared" si="26"/>
        <v>0</v>
      </c>
    </row>
    <row r="223" spans="1:12" s="17" customFormat="1" ht="50.25" customHeight="1" x14ac:dyDescent="0.2">
      <c r="A223" s="39">
        <v>5</v>
      </c>
      <c r="B223" s="26" t="s">
        <v>424</v>
      </c>
      <c r="C223" s="14" t="s">
        <v>261</v>
      </c>
      <c r="D223" s="26" t="s">
        <v>424</v>
      </c>
      <c r="E223" s="28" t="s">
        <v>8</v>
      </c>
      <c r="F223" s="16">
        <v>1</v>
      </c>
      <c r="G223" s="15">
        <f>16185654+8092827</f>
        <v>24278481</v>
      </c>
      <c r="H223" s="15">
        <f>G223*F223</f>
        <v>24278481</v>
      </c>
      <c r="I223" s="15">
        <f t="shared" si="28"/>
        <v>24278481</v>
      </c>
      <c r="J223" s="37" t="s">
        <v>151</v>
      </c>
      <c r="L223" s="18">
        <f t="shared" si="26"/>
        <v>0</v>
      </c>
    </row>
    <row r="224" spans="1:12" s="17" customFormat="1" ht="50.25" customHeight="1" x14ac:dyDescent="0.2">
      <c r="A224" s="39">
        <v>6</v>
      </c>
      <c r="B224" s="26" t="s">
        <v>425</v>
      </c>
      <c r="C224" s="14" t="s">
        <v>261</v>
      </c>
      <c r="D224" s="26" t="s">
        <v>425</v>
      </c>
      <c r="E224" s="28" t="s">
        <v>8</v>
      </c>
      <c r="F224" s="16">
        <v>1</v>
      </c>
      <c r="G224" s="15">
        <v>62595</v>
      </c>
      <c r="H224" s="15">
        <f t="shared" si="29"/>
        <v>62595</v>
      </c>
      <c r="I224" s="15">
        <f t="shared" si="28"/>
        <v>62595</v>
      </c>
      <c r="J224" s="37" t="s">
        <v>151</v>
      </c>
      <c r="L224" s="18">
        <f t="shared" si="26"/>
        <v>0</v>
      </c>
    </row>
    <row r="225" spans="1:12" s="17" customFormat="1" ht="50.25" customHeight="1" x14ac:dyDescent="0.2">
      <c r="A225" s="39">
        <v>7</v>
      </c>
      <c r="B225" s="26" t="s">
        <v>25</v>
      </c>
      <c r="C225" s="14" t="s">
        <v>271</v>
      </c>
      <c r="D225" s="26" t="s">
        <v>25</v>
      </c>
      <c r="E225" s="28" t="s">
        <v>8</v>
      </c>
      <c r="F225" s="16">
        <v>70</v>
      </c>
      <c r="G225" s="15">
        <f>1200*1.07</f>
        <v>1284</v>
      </c>
      <c r="H225" s="15">
        <f>G225*F225</f>
        <v>89880</v>
      </c>
      <c r="I225" s="15">
        <f>H225</f>
        <v>89880</v>
      </c>
      <c r="J225" s="37" t="s">
        <v>151</v>
      </c>
      <c r="L225" s="18">
        <f t="shared" si="26"/>
        <v>0</v>
      </c>
    </row>
    <row r="226" spans="1:12" s="17" customFormat="1" ht="50.25" customHeight="1" x14ac:dyDescent="0.2">
      <c r="A226" s="39">
        <v>8</v>
      </c>
      <c r="B226" s="26" t="s">
        <v>428</v>
      </c>
      <c r="C226" s="14" t="s">
        <v>271</v>
      </c>
      <c r="D226" s="26" t="s">
        <v>428</v>
      </c>
      <c r="E226" s="28" t="s">
        <v>8</v>
      </c>
      <c r="F226" s="16">
        <v>10</v>
      </c>
      <c r="G226" s="15">
        <f>38100*1.07</f>
        <v>40767</v>
      </c>
      <c r="H226" s="15">
        <f>G226*F226</f>
        <v>407670</v>
      </c>
      <c r="I226" s="15">
        <f>H226</f>
        <v>407670</v>
      </c>
      <c r="J226" s="37" t="s">
        <v>151</v>
      </c>
      <c r="L226" s="18">
        <f t="shared" si="26"/>
        <v>0</v>
      </c>
    </row>
    <row r="227" spans="1:12" s="17" customFormat="1" ht="50.25" customHeight="1" x14ac:dyDescent="0.2">
      <c r="A227" s="39">
        <v>9</v>
      </c>
      <c r="B227" s="26" t="s">
        <v>148</v>
      </c>
      <c r="C227" s="14" t="s">
        <v>427</v>
      </c>
      <c r="D227" s="26" t="s">
        <v>148</v>
      </c>
      <c r="E227" s="28" t="s">
        <v>8</v>
      </c>
      <c r="F227" s="16">
        <v>1</v>
      </c>
      <c r="G227" s="15">
        <f>1767600/12*9</f>
        <v>1325700</v>
      </c>
      <c r="H227" s="15">
        <f t="shared" ref="H227:H235" si="30">G227*F227</f>
        <v>1325700</v>
      </c>
      <c r="I227" s="15">
        <f t="shared" ref="I227:I230" si="31">H227</f>
        <v>1325700</v>
      </c>
      <c r="J227" s="37" t="s">
        <v>151</v>
      </c>
      <c r="L227" s="18">
        <f t="shared" si="26"/>
        <v>0</v>
      </c>
    </row>
    <row r="228" spans="1:12" s="17" customFormat="1" ht="50.25" customHeight="1" x14ac:dyDescent="0.2">
      <c r="A228" s="39">
        <v>10</v>
      </c>
      <c r="B228" s="26" t="s">
        <v>148</v>
      </c>
      <c r="C228" s="14" t="s">
        <v>427</v>
      </c>
      <c r="D228" s="26" t="s">
        <v>148</v>
      </c>
      <c r="E228" s="28" t="s">
        <v>8</v>
      </c>
      <c r="F228" s="16">
        <v>1</v>
      </c>
      <c r="G228" s="15">
        <f>277200/12*9</f>
        <v>207900</v>
      </c>
      <c r="H228" s="15">
        <f t="shared" si="30"/>
        <v>207900</v>
      </c>
      <c r="I228" s="15">
        <f t="shared" si="31"/>
        <v>207900</v>
      </c>
      <c r="J228" s="37" t="s">
        <v>151</v>
      </c>
      <c r="L228" s="18">
        <f t="shared" si="26"/>
        <v>0</v>
      </c>
    </row>
    <row r="229" spans="1:12" s="17" customFormat="1" ht="50.25" customHeight="1" x14ac:dyDescent="0.2">
      <c r="A229" s="39">
        <v>11</v>
      </c>
      <c r="B229" s="26" t="s">
        <v>267</v>
      </c>
      <c r="C229" s="14" t="s">
        <v>271</v>
      </c>
      <c r="D229" s="26" t="s">
        <v>267</v>
      </c>
      <c r="E229" s="28" t="s">
        <v>8</v>
      </c>
      <c r="F229" s="16">
        <v>1</v>
      </c>
      <c r="G229" s="15">
        <v>6395400</v>
      </c>
      <c r="H229" s="15">
        <f t="shared" si="30"/>
        <v>6395400</v>
      </c>
      <c r="I229" s="15">
        <f t="shared" si="31"/>
        <v>6395400</v>
      </c>
      <c r="J229" s="37" t="s">
        <v>151</v>
      </c>
      <c r="L229" s="18">
        <f t="shared" si="26"/>
        <v>0</v>
      </c>
    </row>
    <row r="230" spans="1:12" s="17" customFormat="1" ht="50.25" customHeight="1" x14ac:dyDescent="0.2">
      <c r="A230" s="39">
        <v>12</v>
      </c>
      <c r="B230" s="26" t="s">
        <v>268</v>
      </c>
      <c r="C230" s="14" t="s">
        <v>271</v>
      </c>
      <c r="D230" s="26" t="s">
        <v>268</v>
      </c>
      <c r="E230" s="28" t="s">
        <v>8</v>
      </c>
      <c r="F230" s="16">
        <v>1</v>
      </c>
      <c r="G230" s="15">
        <v>2000</v>
      </c>
      <c r="H230" s="15">
        <f t="shared" si="30"/>
        <v>2000</v>
      </c>
      <c r="I230" s="15">
        <f t="shared" si="31"/>
        <v>2000</v>
      </c>
      <c r="J230" s="37" t="s">
        <v>151</v>
      </c>
      <c r="L230" s="18">
        <f t="shared" si="26"/>
        <v>0</v>
      </c>
    </row>
    <row r="231" spans="1:12" s="17" customFormat="1" ht="50.25" customHeight="1" x14ac:dyDescent="0.2">
      <c r="A231" s="39">
        <v>13</v>
      </c>
      <c r="B231" s="26" t="s">
        <v>269</v>
      </c>
      <c r="C231" s="14" t="s">
        <v>271</v>
      </c>
      <c r="D231" s="26" t="s">
        <v>269</v>
      </c>
      <c r="E231" s="28" t="s">
        <v>8</v>
      </c>
      <c r="F231" s="16">
        <v>1</v>
      </c>
      <c r="G231" s="15">
        <f>290*340</f>
        <v>98600</v>
      </c>
      <c r="H231" s="15">
        <f t="shared" si="30"/>
        <v>98600</v>
      </c>
      <c r="I231" s="15">
        <v>98600</v>
      </c>
      <c r="J231" s="37" t="s">
        <v>151</v>
      </c>
      <c r="L231" s="40">
        <f t="shared" si="26"/>
        <v>0</v>
      </c>
    </row>
    <row r="232" spans="1:12" s="17" customFormat="1" ht="50.25" customHeight="1" x14ac:dyDescent="0.2">
      <c r="A232" s="39">
        <v>14</v>
      </c>
      <c r="B232" s="26" t="s">
        <v>291</v>
      </c>
      <c r="C232" s="14" t="s">
        <v>271</v>
      </c>
      <c r="D232" s="26" t="s">
        <v>291</v>
      </c>
      <c r="E232" s="28" t="s">
        <v>8</v>
      </c>
      <c r="F232" s="16">
        <v>1</v>
      </c>
      <c r="G232" s="15">
        <f>699*2/12*12*340</f>
        <v>475320</v>
      </c>
      <c r="H232" s="15">
        <f t="shared" si="30"/>
        <v>475320</v>
      </c>
      <c r="I232" s="15">
        <f>699*2*340</f>
        <v>475320</v>
      </c>
      <c r="J232" s="37" t="s">
        <v>151</v>
      </c>
      <c r="L232" s="18">
        <f t="shared" si="26"/>
        <v>0</v>
      </c>
    </row>
    <row r="233" spans="1:12" s="17" customFormat="1" ht="64.5" customHeight="1" x14ac:dyDescent="0.2">
      <c r="A233" s="39">
        <v>15</v>
      </c>
      <c r="B233" s="26" t="s">
        <v>292</v>
      </c>
      <c r="C233" s="14" t="s">
        <v>271</v>
      </c>
      <c r="D233" s="26" t="s">
        <v>292</v>
      </c>
      <c r="E233" s="28" t="s">
        <v>8</v>
      </c>
      <c r="F233" s="16">
        <v>1</v>
      </c>
      <c r="G233" s="15">
        <f>48000*340/12*12</f>
        <v>16320000</v>
      </c>
      <c r="H233" s="15">
        <f t="shared" si="30"/>
        <v>16320000</v>
      </c>
      <c r="I233" s="15">
        <f>48000*340</f>
        <v>16320000</v>
      </c>
      <c r="J233" s="37" t="s">
        <v>151</v>
      </c>
      <c r="L233" s="18">
        <f t="shared" si="26"/>
        <v>0</v>
      </c>
    </row>
    <row r="234" spans="1:12" s="17" customFormat="1" ht="66.75" customHeight="1" x14ac:dyDescent="0.2">
      <c r="A234" s="39">
        <v>16</v>
      </c>
      <c r="B234" s="26" t="s">
        <v>270</v>
      </c>
      <c r="C234" s="14" t="s">
        <v>271</v>
      </c>
      <c r="D234" s="26" t="s">
        <v>270</v>
      </c>
      <c r="E234" s="28" t="s">
        <v>8</v>
      </c>
      <c r="F234" s="16">
        <v>1</v>
      </c>
      <c r="G234" s="15">
        <f>9421*410/12*12</f>
        <v>3862610</v>
      </c>
      <c r="H234" s="15">
        <f t="shared" si="30"/>
        <v>3862610</v>
      </c>
      <c r="I234" s="15">
        <f>9421*410</f>
        <v>3862610</v>
      </c>
      <c r="J234" s="37" t="s">
        <v>151</v>
      </c>
      <c r="L234" s="18">
        <f t="shared" si="26"/>
        <v>0</v>
      </c>
    </row>
    <row r="235" spans="1:12" s="17" customFormat="1" ht="60.75" customHeight="1" x14ac:dyDescent="0.2">
      <c r="A235" s="39">
        <v>17</v>
      </c>
      <c r="B235" s="26" t="s">
        <v>272</v>
      </c>
      <c r="C235" s="14" t="s">
        <v>271</v>
      </c>
      <c r="D235" s="26" t="s">
        <v>272</v>
      </c>
      <c r="E235" s="28" t="s">
        <v>8</v>
      </c>
      <c r="F235" s="16">
        <v>1</v>
      </c>
      <c r="G235" s="15">
        <f>17952*6/12*12</f>
        <v>107712</v>
      </c>
      <c r="H235" s="15">
        <f t="shared" si="30"/>
        <v>107712</v>
      </c>
      <c r="I235" s="15">
        <f>17952*6</f>
        <v>107712</v>
      </c>
      <c r="J235" s="37" t="s">
        <v>151</v>
      </c>
      <c r="L235" s="18">
        <f t="shared" si="26"/>
        <v>0</v>
      </c>
    </row>
    <row r="236" spans="1:12" s="17" customFormat="1" ht="60.75" customHeight="1" x14ac:dyDescent="0.2">
      <c r="A236" s="39">
        <v>18</v>
      </c>
      <c r="B236" s="26" t="s">
        <v>149</v>
      </c>
      <c r="C236" s="14" t="s">
        <v>271</v>
      </c>
      <c r="D236" s="26" t="s">
        <v>149</v>
      </c>
      <c r="E236" s="28" t="s">
        <v>8</v>
      </c>
      <c r="F236" s="16">
        <v>1</v>
      </c>
      <c r="G236" s="15">
        <v>345000</v>
      </c>
      <c r="H236" s="15">
        <f t="shared" ref="H236" si="32">G236*F236</f>
        <v>345000</v>
      </c>
      <c r="I236" s="15">
        <f t="shared" ref="I236" si="33">H236</f>
        <v>345000</v>
      </c>
      <c r="J236" s="37" t="s">
        <v>151</v>
      </c>
      <c r="L236" s="18">
        <f t="shared" si="26"/>
        <v>0</v>
      </c>
    </row>
    <row r="237" spans="1:12" s="17" customFormat="1" ht="60.75" customHeight="1" x14ac:dyDescent="0.2">
      <c r="A237" s="39">
        <v>19</v>
      </c>
      <c r="B237" s="26" t="s">
        <v>434</v>
      </c>
      <c r="C237" s="14" t="s">
        <v>426</v>
      </c>
      <c r="D237" s="26" t="s">
        <v>434</v>
      </c>
      <c r="E237" s="28" t="s">
        <v>254</v>
      </c>
      <c r="F237" s="35">
        <v>1</v>
      </c>
      <c r="G237" s="38">
        <v>131980000</v>
      </c>
      <c r="H237" s="15">
        <f>G237</f>
        <v>131980000</v>
      </c>
      <c r="I237" s="15">
        <f t="shared" ref="I237:I238" si="34">H237</f>
        <v>131980000</v>
      </c>
      <c r="J237" s="37" t="s">
        <v>151</v>
      </c>
      <c r="L237" s="18"/>
    </row>
    <row r="238" spans="1:12" s="17" customFormat="1" ht="63.75" customHeight="1" x14ac:dyDescent="0.2">
      <c r="A238" s="39">
        <v>20</v>
      </c>
      <c r="B238" s="26" t="s">
        <v>277</v>
      </c>
      <c r="C238" s="14" t="s">
        <v>287</v>
      </c>
      <c r="D238" s="26" t="s">
        <v>277</v>
      </c>
      <c r="E238" s="28" t="s">
        <v>254</v>
      </c>
      <c r="F238" s="35">
        <v>1</v>
      </c>
      <c r="G238" s="38">
        <v>44470018</v>
      </c>
      <c r="H238" s="15">
        <f t="shared" ref="H238" si="35">G238</f>
        <v>44470018</v>
      </c>
      <c r="I238" s="15">
        <f t="shared" si="34"/>
        <v>44470018</v>
      </c>
      <c r="J238" s="37" t="s">
        <v>151</v>
      </c>
      <c r="L238" s="18">
        <f t="shared" si="26"/>
        <v>0</v>
      </c>
    </row>
    <row r="239" spans="1:12" s="17" customFormat="1" ht="24.75" customHeight="1" x14ac:dyDescent="0.2">
      <c r="A239" s="53" t="s">
        <v>7</v>
      </c>
      <c r="B239" s="53"/>
      <c r="C239" s="53"/>
      <c r="D239" s="53"/>
      <c r="E239" s="53"/>
      <c r="F239" s="53"/>
      <c r="G239" s="53"/>
      <c r="H239" s="27">
        <f>SUM(H219:H238)</f>
        <v>231613939</v>
      </c>
      <c r="I239" s="27">
        <f>SUM(I219:I238)</f>
        <v>231613939</v>
      </c>
      <c r="J239" s="29"/>
      <c r="L239" s="18"/>
    </row>
    <row r="240" spans="1:12" s="17" customFormat="1" ht="23.25" customHeight="1" x14ac:dyDescent="0.2">
      <c r="A240" s="50" t="s">
        <v>9</v>
      </c>
      <c r="B240" s="51"/>
      <c r="C240" s="51"/>
      <c r="D240" s="51"/>
      <c r="E240" s="51"/>
      <c r="F240" s="51"/>
      <c r="G240" s="52"/>
      <c r="H240" s="30">
        <f>H239+H216</f>
        <v>410285952.18895715</v>
      </c>
      <c r="I240" s="30">
        <f>I239+I216</f>
        <v>410285952.18895715</v>
      </c>
      <c r="J240" s="29"/>
      <c r="L240" s="18"/>
    </row>
    <row r="241" spans="1:10" ht="13.5" customHeight="1" x14ac:dyDescent="0.2">
      <c r="A241" s="7"/>
      <c r="B241" s="7"/>
      <c r="C241" s="7"/>
      <c r="D241" s="7"/>
      <c r="E241" s="7"/>
      <c r="F241" s="7"/>
      <c r="G241" s="7"/>
      <c r="H241" s="8"/>
      <c r="I241" s="8"/>
      <c r="J241" s="9"/>
    </row>
    <row r="242" spans="1:10" ht="13.5" hidden="1" customHeight="1" x14ac:dyDescent="0.2">
      <c r="A242" s="7"/>
      <c r="B242" s="7"/>
      <c r="C242" s="7"/>
      <c r="D242" s="7"/>
      <c r="E242" s="7"/>
      <c r="F242" s="7"/>
      <c r="G242" s="7"/>
      <c r="H242" s="8"/>
      <c r="I242" s="8"/>
      <c r="J242" s="9"/>
    </row>
    <row r="243" spans="1:10" ht="13.5" hidden="1" customHeight="1" x14ac:dyDescent="0.2">
      <c r="A243" s="7"/>
      <c r="B243" s="7"/>
      <c r="C243" s="7"/>
      <c r="D243" s="7"/>
      <c r="E243" s="7"/>
      <c r="F243" s="7"/>
      <c r="G243" s="7"/>
      <c r="H243" s="8"/>
      <c r="I243" s="8"/>
      <c r="J243" s="9"/>
    </row>
    <row r="244" spans="1:10" ht="21" hidden="1" customHeight="1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ht="45.75" hidden="1" customHeight="1" x14ac:dyDescent="0.2">
      <c r="A245" s="23"/>
      <c r="B245" s="24"/>
      <c r="C245" s="24"/>
      <c r="D245" s="24"/>
      <c r="E245" s="24"/>
      <c r="F245" s="24"/>
      <c r="G245" s="25"/>
      <c r="H245" s="25"/>
      <c r="I245" s="25"/>
      <c r="J245" s="10"/>
    </row>
    <row r="246" spans="1:10" ht="8.25" hidden="1" customHeight="1" x14ac:dyDescent="0.2"/>
    <row r="247" spans="1:10" ht="12.75" x14ac:dyDescent="0.2"/>
  </sheetData>
  <autoFilter ref="A7:IU247"/>
  <mergeCells count="24">
    <mergeCell ref="A244:J244"/>
    <mergeCell ref="A240:G240"/>
    <mergeCell ref="A239:G239"/>
    <mergeCell ref="A9:J9"/>
    <mergeCell ref="A10:J10"/>
    <mergeCell ref="A170:G170"/>
    <mergeCell ref="A171:J171"/>
    <mergeCell ref="A218:J218"/>
    <mergeCell ref="A216:C216"/>
    <mergeCell ref="A217:J217"/>
    <mergeCell ref="A215:C215"/>
    <mergeCell ref="G1:J1"/>
    <mergeCell ref="J6:J7"/>
    <mergeCell ref="A4:I4"/>
    <mergeCell ref="H6:H7"/>
    <mergeCell ref="A3:I3"/>
    <mergeCell ref="I6:I7"/>
    <mergeCell ref="A6:A7"/>
    <mergeCell ref="B6:B7"/>
    <mergeCell ref="C6:C7"/>
    <mergeCell ref="D6:D7"/>
    <mergeCell ref="G6:G7"/>
    <mergeCell ref="E6:E7"/>
    <mergeCell ref="F6:F7"/>
  </mergeCells>
  <phoneticPr fontId="39" type="noConversion"/>
  <pageMargins left="0.25" right="0.25" top="0.75" bottom="0.75" header="0.3" footer="0.3"/>
  <pageSetup paperSize="9" scale="63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"/>
    </sheetView>
  </sheetViews>
  <sheetFormatPr defaultRowHeight="12.75" x14ac:dyDescent="0.2"/>
  <cols>
    <col min="1" max="1" width="11.33203125" customWidth="1"/>
  </cols>
  <sheetData/>
  <phoneticPr fontId="3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User 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Aigul</dc:creator>
  <cp:lastModifiedBy>Мырза Дуйсен</cp:lastModifiedBy>
  <cp:lastPrinted>2018-05-22T10:02:05Z</cp:lastPrinted>
  <dcterms:created xsi:type="dcterms:W3CDTF">2011-09-05T16:23:55Z</dcterms:created>
  <dcterms:modified xsi:type="dcterms:W3CDTF">2018-12-06T11:20:19Z</dcterms:modified>
</cp:coreProperties>
</file>